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DieseArbeitsmappe"/>
  <mc:AlternateContent xmlns:mc="http://schemas.openxmlformats.org/markup-compatibility/2006">
    <mc:Choice Requires="x15">
      <x15ac:absPath xmlns:x15ac="http://schemas.microsoft.com/office/spreadsheetml/2010/11/ac" url="https://ecoserveis.sharepoint.com/sites/AssociaciEcoserveis/Documentos compartidos/General/01 - PROJECTES/02 - ERASMUS+/C-1095 SDG Striker/02 - WP2 Best Practices' Digest and Design of the Action Plan/01 - Deliverables/03 - Ready to Upload/"/>
    </mc:Choice>
  </mc:AlternateContent>
  <xr:revisionPtr revIDLastSave="4" documentId="8_{462C1A98-464E-4DFE-8FE1-93A6587FC81E}" xr6:coauthVersionLast="47" xr6:coauthVersionMax="47" xr10:uidLastSave="{F50FE589-49A6-483D-B373-9B4B78EC05EA}"/>
  <bookViews>
    <workbookView xWindow="-120" yWindow="-120" windowWidth="20640" windowHeight="11160" tabRatio="743" xr2:uid="{00000000-000D-0000-FFFF-FFFF00000000}"/>
  </bookViews>
  <sheets>
    <sheet name="info" sheetId="1" r:id="rId1"/>
    <sheet name="parameter" sheetId="2" r:id="rId2"/>
    <sheet name="calculation" sheetId="4" r:id="rId3"/>
    <sheet name="annual result" sheetId="3" r:id="rId4"/>
    <sheet name="net present value" sheetId="5" r:id="rId5"/>
    <sheet name="solar yield" sheetId="7" r:id="rId6"/>
    <sheet name="payment" sheetId="8" r:id="rId7"/>
  </sheets>
  <definedNames>
    <definedName name="Anlagenleistung">parameter!$B$18</definedName>
    <definedName name="Anlagenpreis">parameter!$B$36</definedName>
    <definedName name="AnlagenpreisPV">parameter!$B$19</definedName>
    <definedName name="_xlnm.Print_Area" localSheetId="2">calculation!$A$5:$AB$28</definedName>
    <definedName name="_xlnm.Print_Area" localSheetId="1">parameter!$A$1:$H$72</definedName>
    <definedName name="Auszahlung1">parameter!$B$41</definedName>
    <definedName name="BatteriespeicherJN">parameter!$B$21</definedName>
    <definedName name="BatterieVerluste">parameter!$B$31</definedName>
    <definedName name="Bereitstellung1">parameter!$B$42</definedName>
    <definedName name="Dachmiete">parameter!$B$26</definedName>
    <definedName name="Direktnutzung">parameter!$B$29</definedName>
    <definedName name="Direktnutzung_Batteriespeicher">parameter!$B$30</definedName>
    <definedName name="Direktnutzung_Speicher">parameter!$B$30</definedName>
    <definedName name="Direktvermarktung">parameter!$B$54</definedName>
    <definedName name="EEG_Vergütung">parameter!$B$37</definedName>
    <definedName name="eegSatz2013">payment!$B$3</definedName>
    <definedName name="eegSatz2014">payment!$B$4</definedName>
    <definedName name="eegSatz2015">payment!$B$5</definedName>
    <definedName name="EEGSatz2016">payment!$B$6</definedName>
    <definedName name="eegSatz2017">payment!$B$7</definedName>
    <definedName name="eegSatz2018">payment!$B$8</definedName>
    <definedName name="EEGSatz2019">payment!$B$9</definedName>
    <definedName name="eegSatz2020">payment!$B$10</definedName>
    <definedName name="eegUmlage">parameter!$B$67</definedName>
    <definedName name="eegUmlageAnteil">parameter!$E$67</definedName>
    <definedName name="EigenkapitalZuAnfang">parameter!$B$15</definedName>
    <definedName name="Eigennutzung">parameter!$B$29</definedName>
    <definedName name="Eigennutzung_brutto">calculation!$H$2</definedName>
    <definedName name="Eigennutzung_netto">calculation!$H$3</definedName>
    <definedName name="EigennutzungSpeicher">parameter!$B$30</definedName>
    <definedName name="Ertragsminderung">parameter!$B$28</definedName>
    <definedName name="Gewerbe">parameter!$B$66</definedName>
    <definedName name="Grundgebühr">parameter!$B$61</definedName>
    <definedName name="IBNJahr">parameter!$B$33</definedName>
    <definedName name="IBNMonat">parameter!$B$34</definedName>
    <definedName name="Inflationsrate">parameter!$B$57</definedName>
    <definedName name="InternerZinsfussQ">calculation!$AA$31</definedName>
    <definedName name="Investitionsabzug">parameter!$B$70</definedName>
    <definedName name="Jahre">parameter!$E$75:$E$78</definedName>
    <definedName name="Kapitalwert">parameter!$B$14</definedName>
    <definedName name="Kleinunternehmer">parameter!$B$55</definedName>
    <definedName name="Kredit1">parameter!$B$40</definedName>
    <definedName name="Kredit2">parameter!$B$48</definedName>
    <definedName name="KU_Umstellung">parameter!$B$56</definedName>
    <definedName name="KUR">parameter!$B$56</definedName>
    <definedName name="kWp">parameter!$B$18</definedName>
    <definedName name="Ladeverluste">parameter!$B$31</definedName>
    <definedName name="Laufzeit1">parameter!$B$44</definedName>
    <definedName name="Laufzeit2">parameter!$B$50</definedName>
    <definedName name="Leistung">parameter!$B$18</definedName>
    <definedName name="LfdKosten">parameter!$B$25</definedName>
    <definedName name="MwSt">parameter!$B$66</definedName>
    <definedName name="ProgVersion">parameter!$A$2</definedName>
    <definedName name="Solarertrag1">parameter!$D$34</definedName>
    <definedName name="Sonderabschreibung">parameter!$B$71</definedName>
    <definedName name="Speicherdegradation">parameter!$B$32</definedName>
    <definedName name="Steuerbefreiung">parameter!$B$53</definedName>
    <definedName name="Steuersatz1">parameter!$B$68</definedName>
    <definedName name="Steuersatz2">parameter!$B$69</definedName>
    <definedName name="StromerlösDirektvermarktung">parameter!$B$64</definedName>
    <definedName name="Stromertrag">parameter!$B$27</definedName>
    <definedName name="StrompreisNetto">parameter!$B$62</definedName>
    <definedName name="Strompreissteigerung">parameter!$B$63</definedName>
    <definedName name="Stromverbrauch">parameter!$B$60</definedName>
    <definedName name="Tilgungsfrei1">parameter!$B$46</definedName>
    <definedName name="Tilgungsfrei2">parameter!#REF!</definedName>
    <definedName name="Umstellung_KUR">parameter!$B$56</definedName>
    <definedName name="Vergütung2018">payment!$B$8</definedName>
    <definedName name="Vorlaufkosten">parameter!$B$24</definedName>
    <definedName name="Zinsbindung1">parameter!$B$45</definedName>
    <definedName name="Zinssatz1">parameter!$B$43</definedName>
    <definedName name="Zinssatz1NachZinsbindung">parameter!$B$47</definedName>
    <definedName name="Zinssatz2">parameter!$B$49</definedName>
    <definedName name="ZinssatzBarwert">parameter!$B$58</definedName>
    <definedName name="ZinssatzWiederanlage">parameter!$B$59</definedName>
    <definedName name="ZusatzkostenBatterie">parameter!$B$22</definedName>
    <definedName name="Zuschuss_PV_Anlage">parameter!$B$20</definedName>
    <definedName name="ZuschussBatterie">parameter!$B$23</definedName>
  </definedNames>
  <calcPr calcId="191029"/>
  <customWorkbookViews>
    <customWorkbookView name="Alfred Körblein - Persönliche Ansicht" guid="{36051EDE-EE05-46A8-9481-5CD2E0A132E3}" mergeInterval="0" personalView="1" maximized="1" windowWidth="1020" windowHeight="56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0" i="2" l="1"/>
  <c r="P7" i="4" s="1"/>
  <c r="Q24" i="4"/>
  <c r="Q25" i="4"/>
  <c r="Q26" i="4"/>
  <c r="Q27" i="4"/>
  <c r="Q28" i="4"/>
  <c r="B19" i="2"/>
  <c r="B67" i="2"/>
  <c r="S16" i="8"/>
  <c r="S17" i="8"/>
  <c r="S18" i="8"/>
  <c r="S19" i="8"/>
  <c r="S20" i="8" s="1"/>
  <c r="S21" i="8" s="1"/>
  <c r="S22" i="8" s="1"/>
  <c r="S23" i="8" s="1"/>
  <c r="S24" i="8" s="1"/>
  <c r="S25" i="8" s="1"/>
  <c r="S26" i="8" s="1"/>
  <c r="R21" i="8"/>
  <c r="R20" i="8"/>
  <c r="V20" i="8"/>
  <c r="R19" i="8"/>
  <c r="R18" i="8"/>
  <c r="R16" i="8"/>
  <c r="R17" i="8"/>
  <c r="R15" i="8"/>
  <c r="D67" i="2"/>
  <c r="Q16" i="8"/>
  <c r="Q17" i="8" s="1"/>
  <c r="Q18" i="8" s="1"/>
  <c r="Q19" i="8" s="1"/>
  <c r="Q20" i="8" s="1"/>
  <c r="P21" i="8"/>
  <c r="P22" i="8"/>
  <c r="P23" i="8" s="1"/>
  <c r="P24" i="8" s="1"/>
  <c r="P25" i="8" s="1"/>
  <c r="P26" i="8" s="1"/>
  <c r="P20" i="8"/>
  <c r="P19" i="8"/>
  <c r="P18" i="8"/>
  <c r="P17" i="8"/>
  <c r="P16" i="8"/>
  <c r="P15" i="8"/>
  <c r="O16" i="8"/>
  <c r="O17" i="8"/>
  <c r="O18" i="8" s="1"/>
  <c r="O19" i="8" s="1"/>
  <c r="O20" i="8" s="1"/>
  <c r="O21" i="8" s="1"/>
  <c r="O22" i="8" s="1"/>
  <c r="O23" i="8" s="1"/>
  <c r="O24" i="8" s="1"/>
  <c r="O25" i="8" s="1"/>
  <c r="O26" i="8" s="1"/>
  <c r="N24" i="8"/>
  <c r="N25" i="8" s="1"/>
  <c r="N26" i="8" s="1"/>
  <c r="N23" i="8"/>
  <c r="N22" i="8"/>
  <c r="N21" i="8"/>
  <c r="N20" i="8"/>
  <c r="N19" i="8"/>
  <c r="N18" i="8"/>
  <c r="N17" i="8"/>
  <c r="N16" i="8"/>
  <c r="D8" i="4"/>
  <c r="D9" i="4"/>
  <c r="D10" i="4"/>
  <c r="D11" i="4"/>
  <c r="D12" i="4"/>
  <c r="D13" i="4"/>
  <c r="D14" i="4"/>
  <c r="D15" i="4"/>
  <c r="D16" i="4"/>
  <c r="D17" i="4"/>
  <c r="D18" i="4"/>
  <c r="D19" i="4"/>
  <c r="D20" i="4"/>
  <c r="D21" i="4"/>
  <c r="D22" i="4"/>
  <c r="D23" i="4"/>
  <c r="D24" i="4"/>
  <c r="D25" i="4"/>
  <c r="D26" i="4"/>
  <c r="D27" i="4"/>
  <c r="D28" i="4"/>
  <c r="F9" i="4"/>
  <c r="F10" i="4"/>
  <c r="F11" i="4"/>
  <c r="F12" i="4"/>
  <c r="F13" i="4"/>
  <c r="J13" i="4" s="1"/>
  <c r="F14" i="4"/>
  <c r="F15" i="4"/>
  <c r="F16" i="4"/>
  <c r="K16" i="4" s="1"/>
  <c r="F17" i="4"/>
  <c r="K17" i="4" s="1"/>
  <c r="F18" i="4"/>
  <c r="K18" i="4" s="1"/>
  <c r="F19" i="4"/>
  <c r="K19" i="4" s="1"/>
  <c r="F20" i="4"/>
  <c r="K20" i="4" s="1"/>
  <c r="F21" i="4"/>
  <c r="K21" i="4" s="1"/>
  <c r="F22" i="4"/>
  <c r="J22" i="4" s="1"/>
  <c r="F23" i="4"/>
  <c r="K23" i="4" s="1"/>
  <c r="F24" i="4"/>
  <c r="K24" i="4" s="1"/>
  <c r="F25" i="4"/>
  <c r="K25" i="4" s="1"/>
  <c r="F26" i="4"/>
  <c r="K26" i="4" s="1"/>
  <c r="F27" i="4"/>
  <c r="F28" i="4"/>
  <c r="F8" i="4"/>
  <c r="J8" i="4" s="1"/>
  <c r="L26" i="8"/>
  <c r="L25" i="8"/>
  <c r="L24" i="8"/>
  <c r="L23" i="8"/>
  <c r="L22" i="8"/>
  <c r="L15" i="8"/>
  <c r="L16" i="8" s="1"/>
  <c r="L17" i="8" s="1"/>
  <c r="L18" i="8" s="1"/>
  <c r="L19" i="8" s="1"/>
  <c r="N15" i="8"/>
  <c r="J15" i="8"/>
  <c r="J16" i="8" s="1"/>
  <c r="J17" i="8" s="1"/>
  <c r="J18" i="8" s="1"/>
  <c r="J19" i="8" s="1"/>
  <c r="H15" i="8"/>
  <c r="H16" i="8" s="1"/>
  <c r="H17" i="8" s="1"/>
  <c r="H18" i="8" s="1"/>
  <c r="H19" i="8" s="1"/>
  <c r="M16" i="8"/>
  <c r="M17" i="8" s="1"/>
  <c r="M18" i="8" s="1"/>
  <c r="M19" i="8" s="1"/>
  <c r="M20" i="8" s="1"/>
  <c r="M21" i="8" s="1"/>
  <c r="M22" i="8" s="1"/>
  <c r="M23" i="8" s="1"/>
  <c r="M24" i="8" s="1"/>
  <c r="M25" i="8" s="1"/>
  <c r="M26" i="8" s="1"/>
  <c r="B15" i="8"/>
  <c r="B16" i="8" s="1"/>
  <c r="B17" i="8" s="1"/>
  <c r="B18" i="8" s="1"/>
  <c r="B19" i="8" s="1"/>
  <c r="D15" i="8"/>
  <c r="F15" i="8"/>
  <c r="F16" i="8" s="1"/>
  <c r="F17" i="8" s="1"/>
  <c r="F18" i="8" s="1"/>
  <c r="F19" i="8" s="1"/>
  <c r="A16" i="8"/>
  <c r="A17" i="8" s="1"/>
  <c r="A18" i="8" s="1"/>
  <c r="A19" i="8" s="1"/>
  <c r="A20" i="8" s="1"/>
  <c r="A21" i="8" s="1"/>
  <c r="A22" i="8" s="1"/>
  <c r="A23" i="8" s="1"/>
  <c r="A24" i="8" s="1"/>
  <c r="A25" i="8" s="1"/>
  <c r="A26" i="8" s="1"/>
  <c r="C16" i="8"/>
  <c r="E16" i="8"/>
  <c r="E17" i="8" s="1"/>
  <c r="E18" i="8" s="1"/>
  <c r="E19" i="8" s="1"/>
  <c r="E20" i="8" s="1"/>
  <c r="E21" i="8" s="1"/>
  <c r="E22" i="8" s="1"/>
  <c r="E23" i="8" s="1"/>
  <c r="E24" i="8" s="1"/>
  <c r="E25" i="8" s="1"/>
  <c r="E26" i="8" s="1"/>
  <c r="G16" i="8"/>
  <c r="G17" i="8"/>
  <c r="G18" i="8" s="1"/>
  <c r="G19" i="8" s="1"/>
  <c r="G20" i="8" s="1"/>
  <c r="G21" i="8" s="1"/>
  <c r="G22" i="8" s="1"/>
  <c r="G23" i="8" s="1"/>
  <c r="G24" i="8" s="1"/>
  <c r="G25" i="8" s="1"/>
  <c r="G26" i="8" s="1"/>
  <c r="I16" i="8"/>
  <c r="I17" i="8" s="1"/>
  <c r="I18" i="8" s="1"/>
  <c r="I19" i="8" s="1"/>
  <c r="I20" i="8" s="1"/>
  <c r="I21" i="8" s="1"/>
  <c r="I22" i="8" s="1"/>
  <c r="I23" i="8" s="1"/>
  <c r="I24" i="8" s="1"/>
  <c r="I25" i="8" s="1"/>
  <c r="I26" i="8" s="1"/>
  <c r="K16" i="8"/>
  <c r="W16" i="8"/>
  <c r="W17" i="8" s="1"/>
  <c r="W18" i="8" s="1"/>
  <c r="W19" i="8" s="1"/>
  <c r="W20" i="8" s="1"/>
  <c r="Y16" i="8"/>
  <c r="Y17" i="8"/>
  <c r="Y18" i="8" s="1"/>
  <c r="Y19" i="8" s="1"/>
  <c r="Y20" i="8" s="1"/>
  <c r="AA16" i="8"/>
  <c r="AA17" i="8" s="1"/>
  <c r="AA18" i="8" s="1"/>
  <c r="AA19" i="8" s="1"/>
  <c r="AA20" i="8" s="1"/>
  <c r="C17" i="8"/>
  <c r="C18" i="8"/>
  <c r="C19" i="8" s="1"/>
  <c r="C20" i="8" s="1"/>
  <c r="C21" i="8" s="1"/>
  <c r="C22" i="8" s="1"/>
  <c r="C23" i="8" s="1"/>
  <c r="C24" i="8" s="1"/>
  <c r="C25" i="8" s="1"/>
  <c r="C26" i="8" s="1"/>
  <c r="K17" i="8"/>
  <c r="K18" i="8"/>
  <c r="K19" i="8" s="1"/>
  <c r="K20" i="8" s="1"/>
  <c r="K21" i="8" s="1"/>
  <c r="K22" i="8" s="1"/>
  <c r="K23" i="8" s="1"/>
  <c r="K24" i="8" s="1"/>
  <c r="K25" i="8" s="1"/>
  <c r="K26" i="8" s="1"/>
  <c r="E1" i="7"/>
  <c r="E2" i="7"/>
  <c r="D2" i="7" s="1"/>
  <c r="E3" i="7"/>
  <c r="D3" i="7" s="1"/>
  <c r="E4" i="7"/>
  <c r="D4" i="7" s="1"/>
  <c r="E5" i="7"/>
  <c r="E6" i="7"/>
  <c r="E7" i="7"/>
  <c r="E8" i="7"/>
  <c r="D8" i="7"/>
  <c r="E9" i="7"/>
  <c r="E10" i="7"/>
  <c r="E11" i="7"/>
  <c r="D11" i="7"/>
  <c r="E12" i="7"/>
  <c r="D12" i="7"/>
  <c r="B13" i="7"/>
  <c r="A1" i="4"/>
  <c r="A2" i="4"/>
  <c r="B8" i="4"/>
  <c r="B9" i="4" s="1"/>
  <c r="B10" i="4" s="1"/>
  <c r="B11" i="4" s="1"/>
  <c r="B12" i="4" s="1"/>
  <c r="B13" i="4" s="1"/>
  <c r="B14" i="4" s="1"/>
  <c r="B15" i="4" s="1"/>
  <c r="B16" i="4" s="1"/>
  <c r="B17" i="4" s="1"/>
  <c r="B18" i="4" s="1"/>
  <c r="B19" i="4" s="1"/>
  <c r="B20" i="4" s="1"/>
  <c r="B21" i="4" s="1"/>
  <c r="B22" i="4" s="1"/>
  <c r="B23" i="4" s="1"/>
  <c r="B24" i="4" s="1"/>
  <c r="B25" i="4" s="1"/>
  <c r="B26" i="4" s="1"/>
  <c r="B27" i="4" s="1"/>
  <c r="B28" i="4" s="1"/>
  <c r="M8" i="4"/>
  <c r="O8" i="4"/>
  <c r="C9" i="4"/>
  <c r="AE9" i="4" s="1"/>
  <c r="O9" i="4"/>
  <c r="C10" i="4"/>
  <c r="AE10" i="4" s="1"/>
  <c r="C11" i="4"/>
  <c r="AE11" i="4" s="1"/>
  <c r="C12" i="4"/>
  <c r="AE12" i="4" s="1"/>
  <c r="C13" i="4"/>
  <c r="E13" i="4" s="1"/>
  <c r="H13" i="4" s="1"/>
  <c r="C14" i="4"/>
  <c r="I14" i="4" s="1"/>
  <c r="C15" i="4"/>
  <c r="AE15" i="4" s="1"/>
  <c r="C16" i="4"/>
  <c r="E16" i="4" s="1"/>
  <c r="H16" i="4" s="1"/>
  <c r="C17" i="4"/>
  <c r="AE17" i="4" s="1"/>
  <c r="C18" i="4"/>
  <c r="I18" i="4" s="1"/>
  <c r="C19" i="4"/>
  <c r="I19" i="4" s="1"/>
  <c r="O19" i="4"/>
  <c r="C20" i="4"/>
  <c r="E20" i="4" s="1"/>
  <c r="H20" i="4" s="1"/>
  <c r="O20" i="4"/>
  <c r="C21" i="4"/>
  <c r="E21" i="4" s="1"/>
  <c r="H21" i="4" s="1"/>
  <c r="O21" i="4"/>
  <c r="C22" i="4"/>
  <c r="E22" i="4" s="1"/>
  <c r="H22" i="4" s="1"/>
  <c r="O22" i="4"/>
  <c r="C23" i="4"/>
  <c r="AE23" i="4" s="1"/>
  <c r="O23" i="4"/>
  <c r="C24" i="4"/>
  <c r="I24" i="4" s="1"/>
  <c r="O24" i="4"/>
  <c r="C25" i="4"/>
  <c r="I25" i="4" s="1"/>
  <c r="O25" i="4"/>
  <c r="C26" i="4"/>
  <c r="I26" i="4" s="1"/>
  <c r="O26" i="4"/>
  <c r="C27" i="4"/>
  <c r="AE27" i="4" s="1"/>
  <c r="O27" i="4"/>
  <c r="C28" i="4"/>
  <c r="AE28" i="4" s="1"/>
  <c r="K28" i="4"/>
  <c r="O28" i="4"/>
  <c r="D19" i="2"/>
  <c r="E62" i="2"/>
  <c r="E76" i="2"/>
  <c r="E77" i="2" s="1"/>
  <c r="H76" i="2"/>
  <c r="H77" i="2" s="1"/>
  <c r="H78" i="2" s="1"/>
  <c r="H79" i="2" s="1"/>
  <c r="H80" i="2" s="1"/>
  <c r="H81" i="2" s="1"/>
  <c r="H82" i="2" s="1"/>
  <c r="H83" i="2" s="1"/>
  <c r="H84" i="2" s="1"/>
  <c r="H85" i="2" s="1"/>
  <c r="H86" i="2" s="1"/>
  <c r="D1" i="7"/>
  <c r="D9" i="7"/>
  <c r="D7" i="7"/>
  <c r="V12" i="4"/>
  <c r="V8" i="4"/>
  <c r="D6" i="7"/>
  <c r="D5" i="7"/>
  <c r="D34" i="2" s="1"/>
  <c r="C8" i="4" s="1"/>
  <c r="K8" i="4" s="1"/>
  <c r="D10" i="7"/>
  <c r="AE24" i="4"/>
  <c r="AA7" i="4"/>
  <c r="AB7" i="4" s="1"/>
  <c r="AC7" i="4" s="1"/>
  <c r="K9" i="4"/>
  <c r="AE22" i="4"/>
  <c r="E12" i="4"/>
  <c r="H12" i="4" s="1"/>
  <c r="K22" i="4"/>
  <c r="R22" i="8"/>
  <c r="R23" i="8" s="1"/>
  <c r="D16" i="8"/>
  <c r="D17" i="8" s="1"/>
  <c r="D18" i="8" s="1"/>
  <c r="D19" i="8" s="1"/>
  <c r="V19" i="8"/>
  <c r="B24" i="2"/>
  <c r="V7" i="4"/>
  <c r="X7" i="4"/>
  <c r="W8" i="4" s="1"/>
  <c r="J17" i="4"/>
  <c r="K27" i="4"/>
  <c r="J11" i="4"/>
  <c r="K15" i="4"/>
  <c r="V21" i="8"/>
  <c r="B36" i="2"/>
  <c r="B25" i="2" s="1"/>
  <c r="V22" i="8"/>
  <c r="AE19" i="4"/>
  <c r="J10" i="4"/>
  <c r="J18" i="4"/>
  <c r="Q11" i="4"/>
  <c r="Q13" i="4"/>
  <c r="Q15" i="4"/>
  <c r="Q17" i="4"/>
  <c r="Q19" i="4"/>
  <c r="Q21" i="4"/>
  <c r="Q23" i="4"/>
  <c r="T7" i="4"/>
  <c r="R8" i="4" s="1"/>
  <c r="Q12" i="4"/>
  <c r="Q16" i="4"/>
  <c r="Q20" i="4"/>
  <c r="Q9" i="4"/>
  <c r="Q10" i="4"/>
  <c r="Q14" i="4"/>
  <c r="Q18" i="4"/>
  <c r="Q22" i="4"/>
  <c r="B15" i="2"/>
  <c r="Y21" i="8" l="1"/>
  <c r="Y22" i="8" s="1"/>
  <c r="Y23" i="8" s="1"/>
  <c r="Y24" i="8" s="1"/>
  <c r="Y25" i="8" s="1"/>
  <c r="Y26" i="8" s="1"/>
  <c r="Y4" i="8"/>
  <c r="Q21" i="8"/>
  <c r="Q22" i="8" s="1"/>
  <c r="Q23" i="8" s="1"/>
  <c r="Q24" i="8" s="1"/>
  <c r="Q25" i="8" s="1"/>
  <c r="Q26" i="8" s="1"/>
  <c r="B11" i="8"/>
  <c r="W4" i="8"/>
  <c r="W21" i="8"/>
  <c r="W22" i="8" s="1"/>
  <c r="W23" i="8" s="1"/>
  <c r="W24" i="8" s="1"/>
  <c r="W25" i="8" s="1"/>
  <c r="W26" i="8" s="1"/>
  <c r="AA4" i="8"/>
  <c r="AA21" i="8"/>
  <c r="AA22" i="8" s="1"/>
  <c r="AA23" i="8" s="1"/>
  <c r="AA24" i="8" s="1"/>
  <c r="AA25" i="8" s="1"/>
  <c r="AA26" i="8" s="1"/>
  <c r="E26" i="4"/>
  <c r="H26" i="4" s="1"/>
  <c r="AE14" i="4"/>
  <c r="D40" i="2"/>
  <c r="E11" i="4"/>
  <c r="H11" i="4" s="1"/>
  <c r="AE26" i="4"/>
  <c r="V29" i="4"/>
  <c r="B9" i="8"/>
  <c r="B10" i="8"/>
  <c r="I9" i="4"/>
  <c r="K10" i="4"/>
  <c r="E14" i="4"/>
  <c r="H14" i="4" s="1"/>
  <c r="E10" i="4"/>
  <c r="H10" i="4" s="1"/>
  <c r="V16" i="8"/>
  <c r="J25" i="4"/>
  <c r="E9" i="4"/>
  <c r="H9" i="4" s="1"/>
  <c r="I17" i="4"/>
  <c r="K12" i="4"/>
  <c r="E24" i="4"/>
  <c r="H24" i="4" s="1"/>
  <c r="I16" i="4"/>
  <c r="K11" i="4"/>
  <c r="I23" i="4"/>
  <c r="I15" i="4"/>
  <c r="AE18" i="4"/>
  <c r="E25" i="4"/>
  <c r="H25" i="4" s="1"/>
  <c r="I22" i="4"/>
  <c r="K13" i="4"/>
  <c r="E18" i="4"/>
  <c r="H18" i="4" s="1"/>
  <c r="I8" i="4"/>
  <c r="I21" i="4"/>
  <c r="I13" i="4"/>
  <c r="I28" i="4"/>
  <c r="I20" i="4"/>
  <c r="I12" i="4"/>
  <c r="I27" i="4"/>
  <c r="I11" i="4"/>
  <c r="K14" i="4"/>
  <c r="I10" i="4"/>
  <c r="X8" i="4"/>
  <c r="J26" i="4"/>
  <c r="J19" i="4"/>
  <c r="J27" i="4"/>
  <c r="L9" i="4"/>
  <c r="L11" i="4"/>
  <c r="L24" i="4"/>
  <c r="L12" i="4"/>
  <c r="L16" i="4"/>
  <c r="L17" i="4"/>
  <c r="L14" i="4"/>
  <c r="L19" i="4"/>
  <c r="L26" i="4"/>
  <c r="L15" i="4"/>
  <c r="L8" i="4"/>
  <c r="AD8" i="4" s="1"/>
  <c r="O18" i="4"/>
  <c r="O15" i="4"/>
  <c r="O10" i="4"/>
  <c r="N8" i="4"/>
  <c r="O16" i="4"/>
  <c r="O17" i="4"/>
  <c r="O11" i="4"/>
  <c r="O14" i="4"/>
  <c r="O12" i="4"/>
  <c r="O13" i="4"/>
  <c r="P8" i="4"/>
  <c r="Q29" i="4"/>
  <c r="AE20" i="4"/>
  <c r="J23" i="4"/>
  <c r="E15" i="4"/>
  <c r="H15" i="4" s="1"/>
  <c r="V17" i="8"/>
  <c r="J14" i="4"/>
  <c r="AE16" i="4"/>
  <c r="J9" i="4"/>
  <c r="J21" i="4"/>
  <c r="J12" i="4"/>
  <c r="E19" i="4"/>
  <c r="H19" i="4" s="1"/>
  <c r="J28" i="4"/>
  <c r="E67" i="2"/>
  <c r="E8" i="4"/>
  <c r="C29" i="4"/>
  <c r="AE8" i="4"/>
  <c r="B3" i="8"/>
  <c r="B20" i="8"/>
  <c r="B21" i="8" s="1"/>
  <c r="B22" i="8" s="1"/>
  <c r="B23" i="8" s="1"/>
  <c r="B24" i="8" s="1"/>
  <c r="B25" i="8" s="1"/>
  <c r="B26" i="8" s="1"/>
  <c r="B7" i="8"/>
  <c r="J20" i="8"/>
  <c r="J21" i="8" s="1"/>
  <c r="J22" i="8" s="1"/>
  <c r="J23" i="8" s="1"/>
  <c r="J24" i="8" s="1"/>
  <c r="J25" i="8" s="1"/>
  <c r="J26" i="8" s="1"/>
  <c r="B5" i="8"/>
  <c r="F20" i="8"/>
  <c r="F21" i="8" s="1"/>
  <c r="F22" i="8" s="1"/>
  <c r="F23" i="8" s="1"/>
  <c r="F24" i="8" s="1"/>
  <c r="F25" i="8" s="1"/>
  <c r="F26" i="8" s="1"/>
  <c r="B6" i="8"/>
  <c r="H20" i="8"/>
  <c r="H21" i="8" s="1"/>
  <c r="H22" i="8" s="1"/>
  <c r="H23" i="8" s="1"/>
  <c r="H24" i="8" s="1"/>
  <c r="H25" i="8" s="1"/>
  <c r="H26" i="8" s="1"/>
  <c r="L20" i="8"/>
  <c r="L21" i="8" s="1"/>
  <c r="B8" i="8"/>
  <c r="R24" i="8"/>
  <c r="V23" i="8"/>
  <c r="B4" i="8"/>
  <c r="D20" i="8"/>
  <c r="D21" i="8" s="1"/>
  <c r="D22" i="8" s="1"/>
  <c r="D23" i="8" s="1"/>
  <c r="D24" i="8" s="1"/>
  <c r="D25" i="8" s="1"/>
  <c r="D26" i="8" s="1"/>
  <c r="T8" i="4"/>
  <c r="L21" i="4"/>
  <c r="E28" i="4"/>
  <c r="H28" i="4" s="1"/>
  <c r="E17" i="4"/>
  <c r="H17" i="4" s="1"/>
  <c r="AE25" i="4"/>
  <c r="M9" i="4"/>
  <c r="M10" i="4" s="1"/>
  <c r="M11" i="4" s="1"/>
  <c r="M12" i="4" s="1"/>
  <c r="M13" i="4" s="1"/>
  <c r="M14" i="4" s="1"/>
  <c r="M15" i="4" s="1"/>
  <c r="M16" i="4" s="1"/>
  <c r="M17" i="4" s="1"/>
  <c r="M18" i="4" s="1"/>
  <c r="M19" i="4" s="1"/>
  <c r="M20" i="4" s="1"/>
  <c r="M21" i="4" s="1"/>
  <c r="M22" i="4" s="1"/>
  <c r="M23" i="4" s="1"/>
  <c r="M24" i="4" s="1"/>
  <c r="M25" i="4" s="1"/>
  <c r="M26" i="4" s="1"/>
  <c r="M27" i="4" s="1"/>
  <c r="M28" i="4" s="1"/>
  <c r="J15" i="4"/>
  <c r="E23" i="4"/>
  <c r="H23" i="4" s="1"/>
  <c r="V18" i="8"/>
  <c r="L28" i="4"/>
  <c r="L25" i="4"/>
  <c r="E27" i="4"/>
  <c r="H27" i="4" s="1"/>
  <c r="AE21" i="4"/>
  <c r="L23" i="4"/>
  <c r="L18" i="4"/>
  <c r="AD18" i="4" s="1"/>
  <c r="L13" i="4"/>
  <c r="J20" i="4"/>
  <c r="L27" i="4"/>
  <c r="L22" i="4"/>
  <c r="L10" i="4"/>
  <c r="J24" i="4"/>
  <c r="AE13" i="4"/>
  <c r="L20" i="4"/>
  <c r="AD20" i="4" s="1"/>
  <c r="J16" i="4"/>
  <c r="I29" i="4" l="1"/>
  <c r="K29" i="4"/>
  <c r="AD28" i="4"/>
  <c r="AD13" i="4"/>
  <c r="AD26" i="4"/>
  <c r="M29" i="4"/>
  <c r="AD27" i="4"/>
  <c r="AD19" i="4"/>
  <c r="AD14" i="4"/>
  <c r="W13" i="4"/>
  <c r="W17" i="4"/>
  <c r="W9" i="4"/>
  <c r="X9" i="4" s="1"/>
  <c r="X10" i="4" s="1"/>
  <c r="X11" i="4" s="1"/>
  <c r="X12" i="4" s="1"/>
  <c r="X13" i="4" s="1"/>
  <c r="W16" i="4"/>
  <c r="W26" i="4"/>
  <c r="W11" i="4"/>
  <c r="W27" i="4"/>
  <c r="W14" i="4"/>
  <c r="W12" i="4"/>
  <c r="W15" i="4"/>
  <c r="W10" i="4"/>
  <c r="W18" i="4"/>
  <c r="W21" i="4"/>
  <c r="W23" i="4"/>
  <c r="W20" i="4"/>
  <c r="W19" i="4"/>
  <c r="W22" i="4"/>
  <c r="W25" i="4"/>
  <c r="W24" i="4"/>
  <c r="J29" i="4"/>
  <c r="AD23" i="4"/>
  <c r="L29" i="4"/>
  <c r="P9" i="4"/>
  <c r="N9" i="4"/>
  <c r="AD10" i="4"/>
  <c r="AD15" i="4"/>
  <c r="AD22" i="4"/>
  <c r="AD25" i="4"/>
  <c r="AD17" i="4"/>
  <c r="AD21" i="4"/>
  <c r="AD16" i="4"/>
  <c r="AE29" i="4"/>
  <c r="R9" i="4"/>
  <c r="V24" i="8"/>
  <c r="R25" i="8"/>
  <c r="AD12" i="4"/>
  <c r="AD11" i="4"/>
  <c r="AD9" i="4"/>
  <c r="H8" i="4"/>
  <c r="H29" i="4" s="1"/>
  <c r="E29" i="4"/>
  <c r="AD24" i="4"/>
  <c r="X14" i="4" l="1"/>
  <c r="X15" i="4" s="1"/>
  <c r="X16" i="4" s="1"/>
  <c r="X17" i="4" s="1"/>
  <c r="X18" i="4" s="1"/>
  <c r="X19" i="4" s="1"/>
  <c r="X20" i="4" s="1"/>
  <c r="X21" i="4" s="1"/>
  <c r="X22" i="4" s="1"/>
  <c r="X23" i="4" s="1"/>
  <c r="X24" i="4" s="1"/>
  <c r="X25" i="4" s="1"/>
  <c r="X26" i="4" s="1"/>
  <c r="X27" i="4" s="1"/>
  <c r="W28" i="4" s="1"/>
  <c r="X28" i="4" s="1"/>
  <c r="AD29" i="4"/>
  <c r="AE31" i="4"/>
  <c r="B13" i="2" s="1"/>
  <c r="P10" i="4"/>
  <c r="N10" i="4"/>
  <c r="V25" i="8"/>
  <c r="R26" i="8"/>
  <c r="W29" i="4"/>
  <c r="S9" i="4"/>
  <c r="N11" i="4" l="1"/>
  <c r="P11" i="4"/>
  <c r="V26" i="8"/>
  <c r="T15" i="8"/>
  <c r="T16" i="8" s="1"/>
  <c r="T17" i="8" s="1"/>
  <c r="T18" i="8" s="1"/>
  <c r="T19" i="8" s="1"/>
  <c r="T9" i="4"/>
  <c r="N12" i="4" l="1"/>
  <c r="P12" i="4"/>
  <c r="B12" i="8"/>
  <c r="B37" i="2" s="1"/>
  <c r="T20" i="8"/>
  <c r="T21" i="8" s="1"/>
  <c r="T22" i="8" s="1"/>
  <c r="T23" i="8" s="1"/>
  <c r="T24" i="8" s="1"/>
  <c r="T25" i="8" s="1"/>
  <c r="T26" i="8" s="1"/>
  <c r="R10" i="4"/>
  <c r="P13" i="4" l="1"/>
  <c r="N13" i="4"/>
  <c r="S10" i="4"/>
  <c r="G24" i="4"/>
  <c r="G10" i="4"/>
  <c r="U10" i="4" s="1"/>
  <c r="G18" i="4"/>
  <c r="G23" i="4"/>
  <c r="G27" i="4"/>
  <c r="G17" i="4"/>
  <c r="G11" i="4"/>
  <c r="U11" i="4" s="1"/>
  <c r="G26" i="4"/>
  <c r="G8" i="4"/>
  <c r="G25" i="4"/>
  <c r="G20" i="4"/>
  <c r="G15" i="4"/>
  <c r="G22" i="4"/>
  <c r="G9" i="4"/>
  <c r="G16" i="4"/>
  <c r="G13" i="4"/>
  <c r="G19" i="4"/>
  <c r="G21" i="4"/>
  <c r="G12" i="4"/>
  <c r="U12" i="4" s="1"/>
  <c r="G28" i="4"/>
  <c r="G14" i="4"/>
  <c r="U13" i="4" l="1"/>
  <c r="P14" i="4"/>
  <c r="N14" i="4"/>
  <c r="U14" i="4" s="1"/>
  <c r="U8" i="4"/>
  <c r="G29" i="4"/>
  <c r="Y8" i="4"/>
  <c r="U9" i="4"/>
  <c r="Y9" i="4"/>
  <c r="Z9" i="4" s="1"/>
  <c r="T10" i="4"/>
  <c r="Y10" i="4"/>
  <c r="Z10" i="4" s="1"/>
  <c r="AA10" i="4" s="1"/>
  <c r="AB10" i="4" s="1"/>
  <c r="N15" i="4" l="1"/>
  <c r="U15" i="4" s="1"/>
  <c r="P15" i="4"/>
  <c r="R11" i="4"/>
  <c r="Z8" i="4"/>
  <c r="AA9" i="4"/>
  <c r="AB9" i="4" s="1"/>
  <c r="N16" i="4" l="1"/>
  <c r="U16" i="4" s="1"/>
  <c r="P16" i="4"/>
  <c r="S11" i="4"/>
  <c r="Y11" i="4"/>
  <c r="AA8" i="4"/>
  <c r="Z11" i="4" l="1"/>
  <c r="P17" i="4"/>
  <c r="N17" i="4"/>
  <c r="U17" i="4" s="1"/>
  <c r="AB8" i="4"/>
  <c r="T11" i="4"/>
  <c r="N18" i="4" l="1"/>
  <c r="U18" i="4" s="1"/>
  <c r="P18" i="4"/>
  <c r="AA11" i="4"/>
  <c r="R12" i="4"/>
  <c r="AC8" i="4"/>
  <c r="AC9" i="4" s="1"/>
  <c r="AC10" i="4" s="1"/>
  <c r="AB11" i="4" l="1"/>
  <c r="AC11" i="4" s="1"/>
  <c r="P19" i="4"/>
  <c r="N19" i="4"/>
  <c r="U19" i="4" s="1"/>
  <c r="S12" i="4"/>
  <c r="Y12" i="4"/>
  <c r="P20" i="4" l="1"/>
  <c r="N20" i="4"/>
  <c r="U20" i="4" s="1"/>
  <c r="Z12" i="4"/>
  <c r="T12" i="4"/>
  <c r="AA12" i="4" l="1"/>
  <c r="N21" i="4"/>
  <c r="U21" i="4" s="1"/>
  <c r="P21" i="4"/>
  <c r="R13" i="4"/>
  <c r="P22" i="4" l="1"/>
  <c r="N22" i="4"/>
  <c r="U22" i="4" s="1"/>
  <c r="AB12" i="4"/>
  <c r="Y13" i="4"/>
  <c r="S13" i="4"/>
  <c r="Z13" i="4" l="1"/>
  <c r="AC12" i="4"/>
  <c r="N23" i="4"/>
  <c r="U23" i="4" s="1"/>
  <c r="P23" i="4"/>
  <c r="T13" i="4"/>
  <c r="N24" i="4" l="1"/>
  <c r="U24" i="4" s="1"/>
  <c r="P24" i="4"/>
  <c r="AA13" i="4"/>
  <c r="R14" i="4"/>
  <c r="AB13" i="4" l="1"/>
  <c r="N25" i="4"/>
  <c r="U25" i="4" s="1"/>
  <c r="P25" i="4"/>
  <c r="Y14" i="4"/>
  <c r="S14" i="4"/>
  <c r="T14" i="4" s="1"/>
  <c r="P26" i="4" l="1"/>
  <c r="N26" i="4"/>
  <c r="U26" i="4" s="1"/>
  <c r="Z14" i="4"/>
  <c r="AC13" i="4"/>
  <c r="R15" i="4"/>
  <c r="AA14" i="4" l="1"/>
  <c r="N27" i="4"/>
  <c r="U27" i="4" s="1"/>
  <c r="P27" i="4"/>
  <c r="S15" i="4"/>
  <c r="T15" i="4" s="1"/>
  <c r="Y15" i="4"/>
  <c r="Z15" i="4" l="1"/>
  <c r="P28" i="4"/>
  <c r="N28" i="4"/>
  <c r="U28" i="4" s="1"/>
  <c r="U29" i="4" s="1"/>
  <c r="AB14" i="4"/>
  <c r="R16" i="4"/>
  <c r="AC14" i="4" l="1"/>
  <c r="AF14" i="4" s="1"/>
  <c r="AA15" i="4"/>
  <c r="Y16" i="4"/>
  <c r="Z16" i="4" s="1"/>
  <c r="AA16" i="4" s="1"/>
  <c r="AB16" i="4" s="1"/>
  <c r="S16" i="4"/>
  <c r="T16" i="4" s="1"/>
  <c r="AB15" i="4" l="1"/>
  <c r="AC15" i="4" s="1"/>
  <c r="AF15" i="4" s="1"/>
  <c r="R17" i="4"/>
  <c r="AC16" i="4" l="1"/>
  <c r="AF16" i="4" s="1"/>
  <c r="Y17" i="4"/>
  <c r="Z17" i="4" s="1"/>
  <c r="AA17" i="4" s="1"/>
  <c r="AB17" i="4" s="1"/>
  <c r="AC17" i="4" s="1"/>
  <c r="S17" i="4"/>
  <c r="T17" i="4" s="1"/>
  <c r="R18" i="4" l="1"/>
  <c r="AF17" i="4"/>
  <c r="Y18" i="4" l="1"/>
  <c r="Z18" i="4" s="1"/>
  <c r="AA18" i="4" s="1"/>
  <c r="AB18" i="4" s="1"/>
  <c r="AC18" i="4" s="1"/>
  <c r="S18" i="4"/>
  <c r="T18" i="4" s="1"/>
  <c r="R19" i="4" l="1"/>
  <c r="AF18" i="4"/>
  <c r="Y19" i="4" l="1"/>
  <c r="Z19" i="4" s="1"/>
  <c r="AA19" i="4" s="1"/>
  <c r="AB19" i="4" s="1"/>
  <c r="AC19" i="4" s="1"/>
  <c r="S19" i="4"/>
  <c r="T19" i="4" s="1"/>
  <c r="R20" i="4" l="1"/>
  <c r="AF19" i="4"/>
  <c r="S20" i="4" l="1"/>
  <c r="T20" i="4" s="1"/>
  <c r="Y20" i="4"/>
  <c r="Z20" i="4" s="1"/>
  <c r="AA20" i="4" s="1"/>
  <c r="AB20" i="4" s="1"/>
  <c r="AC20" i="4" s="1"/>
  <c r="AF20" i="4" l="1"/>
  <c r="R21" i="4"/>
  <c r="Y21" i="4" l="1"/>
  <c r="Z21" i="4" s="1"/>
  <c r="AA21" i="4" s="1"/>
  <c r="AB21" i="4" s="1"/>
  <c r="AC21" i="4" s="1"/>
  <c r="S21" i="4"/>
  <c r="T21" i="4" s="1"/>
  <c r="R22" i="4" l="1"/>
  <c r="AF21" i="4"/>
  <c r="S22" i="4" l="1"/>
  <c r="T22" i="4" s="1"/>
  <c r="Y22" i="4"/>
  <c r="Z22" i="4" s="1"/>
  <c r="AA22" i="4" s="1"/>
  <c r="AB22" i="4" s="1"/>
  <c r="AC22" i="4" s="1"/>
  <c r="AF22" i="4" l="1"/>
  <c r="R23" i="4"/>
  <c r="Y23" i="4" l="1"/>
  <c r="Z23" i="4" s="1"/>
  <c r="AA23" i="4" s="1"/>
  <c r="AB23" i="4" s="1"/>
  <c r="AC23" i="4" s="1"/>
  <c r="S23" i="4"/>
  <c r="T23" i="4" s="1"/>
  <c r="R24" i="4" l="1"/>
  <c r="AF23" i="4"/>
  <c r="S24" i="4" l="1"/>
  <c r="T24" i="4" s="1"/>
  <c r="Y24" i="4"/>
  <c r="Z24" i="4" s="1"/>
  <c r="AA24" i="4" s="1"/>
  <c r="AB24" i="4" s="1"/>
  <c r="AC24" i="4" s="1"/>
  <c r="AF24" i="4" l="1"/>
  <c r="R25" i="4"/>
  <c r="S25" i="4" l="1"/>
  <c r="T25" i="4" s="1"/>
  <c r="Y25" i="4"/>
  <c r="Z25" i="4" s="1"/>
  <c r="AA25" i="4" s="1"/>
  <c r="AB25" i="4" s="1"/>
  <c r="AC25" i="4" s="1"/>
  <c r="AF25" i="4" l="1"/>
  <c r="R26" i="4"/>
  <c r="Y26" i="4" l="1"/>
  <c r="Z26" i="4" s="1"/>
  <c r="AA26" i="4" s="1"/>
  <c r="AB26" i="4" s="1"/>
  <c r="AC26" i="4" s="1"/>
  <c r="S26" i="4"/>
  <c r="T26" i="4" s="1"/>
  <c r="R27" i="4" l="1"/>
  <c r="AF26" i="4"/>
  <c r="Y27" i="4" l="1"/>
  <c r="Z27" i="4" s="1"/>
  <c r="AA27" i="4" s="1"/>
  <c r="AB27" i="4" s="1"/>
  <c r="AC27" i="4" s="1"/>
  <c r="S27" i="4"/>
  <c r="T27" i="4" s="1"/>
  <c r="R28" i="4" l="1"/>
  <c r="AF27" i="4"/>
  <c r="S28" i="4" l="1"/>
  <c r="Y28" i="4"/>
  <c r="R29" i="4"/>
  <c r="Z28" i="4" l="1"/>
  <c r="Y29" i="4"/>
  <c r="S29" i="4"/>
  <c r="T28" i="4"/>
  <c r="AA28" i="4" l="1"/>
  <c r="Z29" i="4"/>
  <c r="AB28" i="4" l="1"/>
  <c r="AA29" i="4"/>
  <c r="AA30" i="4"/>
  <c r="B11" i="2" l="1"/>
  <c r="AA31" i="4"/>
  <c r="AC28" i="4"/>
  <c r="AB29" i="4"/>
  <c r="B14" i="2" s="1"/>
  <c r="AF28" i="4" l="1"/>
  <c r="AF29" i="4" s="1"/>
  <c r="B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Alfred Körblein</author>
    <author>Alfred</author>
    <author/>
    <author>Windows-Benutzer</author>
    <author>Windows User</author>
  </authors>
  <commentList>
    <comment ref="B13" authorId="0" shapeId="0" xr:uid="{00000000-0006-0000-0100-000003000000}">
      <text>
        <r>
          <rPr>
            <b/>
            <sz val="9"/>
            <color indexed="81"/>
            <rFont val="Tahoma"/>
            <family val="2"/>
          </rPr>
          <t>LCOE:
Levelized Cost of Electricity</t>
        </r>
      </text>
    </comment>
    <comment ref="B15" authorId="1" shapeId="0" xr:uid="{00000000-0006-0000-0100-000004000000}">
      <text>
        <r>
          <rPr>
            <b/>
            <sz val="9"/>
            <color indexed="81"/>
            <rFont val="Arial"/>
            <family val="2"/>
          </rPr>
          <t xml:space="preserve">Also takes into account the VAT! </t>
        </r>
      </text>
    </comment>
    <comment ref="B23" authorId="1" shapeId="0" xr:uid="{00000000-0006-0000-0100-000005000000}">
      <text>
        <r>
          <rPr>
            <b/>
            <sz val="9"/>
            <color indexed="81"/>
            <rFont val="Tahoma"/>
            <family val="2"/>
          </rPr>
          <t>Enter amount of subsidy, grant for power storage / battery here</t>
        </r>
      </text>
    </comment>
    <comment ref="B24" authorId="2" shapeId="0" xr:uid="{00000000-0006-0000-0100-000006000000}">
      <text>
        <r>
          <rPr>
            <b/>
            <sz val="9"/>
            <color indexed="8"/>
            <rFont val="Arial"/>
            <family val="2"/>
          </rPr>
          <t xml:space="preserve">e.g. for planning and interim financing
</t>
        </r>
      </text>
    </comment>
    <comment ref="B29" authorId="0" shapeId="0" xr:uid="{00000000-0006-0000-0100-000007000000}">
      <text>
        <r>
          <rPr>
            <b/>
            <sz val="9"/>
            <color indexed="81"/>
            <rFont val="Segoe UI"/>
            <family val="2"/>
          </rPr>
          <t>Percentage of self-consumption (direct use) of PV electricity generation.</t>
        </r>
      </text>
    </comment>
    <comment ref="B30" authorId="0" shapeId="0" xr:uid="{00000000-0006-0000-0100-000008000000}">
      <text>
        <r>
          <rPr>
            <b/>
            <sz val="9"/>
            <color indexed="81"/>
            <rFont val="Segoe UI"/>
            <family val="2"/>
          </rPr>
          <t>PV power fed into the storage / battery, as a percentage of PV power generation.</t>
        </r>
      </text>
    </comment>
    <comment ref="B32" authorId="3" shapeId="0" xr:uid="{00000000-0006-0000-0100-000009000000}">
      <text>
        <r>
          <rPr>
            <b/>
            <sz val="9"/>
            <color indexed="81"/>
            <rFont val="Segoe UI"/>
            <family val="2"/>
          </rPr>
          <t>Jährlicher anteiliger Rückgang der zusätzlichen Direktnutzung über Batteriespeicher infolge Abnahme der Speicherkapazität.
Beispiel: Ein Rückgang um 5% bedeutet eine Abnahme der Direktnutzung von 40% auf 38%.</t>
        </r>
      </text>
    </comment>
    <comment ref="B53" authorId="0" shapeId="0" xr:uid="{00000000-0006-0000-0100-00000A000000}">
      <text>
        <r>
          <rPr>
            <b/>
            <sz val="9"/>
            <color indexed="81"/>
            <rFont val="Segoe UI"/>
            <family val="2"/>
          </rPr>
          <t>The exemption from income tax liability is in some regions of Europe realised, intended to avoid further bureaucratic effort, especially for small scale installations</t>
        </r>
      </text>
    </comment>
    <comment ref="B55" authorId="2" shapeId="0" xr:uid="{00000000-0006-0000-0100-00000B000000}">
      <text>
        <r>
          <rPr>
            <b/>
            <sz val="9"/>
            <color indexed="8"/>
            <rFont val="Tahoma"/>
            <family val="2"/>
          </rPr>
          <t>Bei Inanspruchnahme der Kleinunternehmer-Regelung (§19 des EEG) wird zwar die Umsatzsteuer in Höhe von 19% der Anlagenkosten nicht rückerstattet. Aber dafür wird keine MwSt auf den selbst verbrauchten Solarstrom erhoben. 
Bei Verwendung eines Speichers ist die Kleinunternehmerregelung in der Regel vorteilhafter.</t>
        </r>
      </text>
    </comment>
    <comment ref="B56" authorId="3" shapeId="0" xr:uid="{00000000-0006-0000-0100-00000C000000}">
      <text>
        <r>
          <rPr>
            <b/>
            <sz val="9"/>
            <color indexed="81"/>
            <rFont val="Segoe UI"/>
            <family val="2"/>
          </rPr>
          <t>Wenn Umstellung="ja" gewählt wird, muss Kleinunternehmer = "nein" gesetzt sein.</t>
        </r>
        <r>
          <rPr>
            <sz val="9"/>
            <color indexed="81"/>
            <rFont val="Segoe UI"/>
            <family val="2"/>
          </rPr>
          <t xml:space="preserve">
</t>
        </r>
      </text>
    </comment>
    <comment ref="B58" authorId="0" shapeId="0" xr:uid="{00000000-0006-0000-0100-00000D000000}">
      <text>
        <r>
          <rPr>
            <b/>
            <sz val="9"/>
            <color indexed="81"/>
            <rFont val="Arial"/>
            <family val="2"/>
          </rPr>
          <t>Interest rate at which the annual earnings are discounted to determine the present value.</t>
        </r>
      </text>
    </comment>
    <comment ref="B66" authorId="4" shapeId="0" xr:uid="{00000000-0006-0000-0100-00000E000000}">
      <text>
        <r>
          <rPr>
            <b/>
            <sz val="9"/>
            <color indexed="81"/>
            <rFont val="Tahoma"/>
            <family val="2"/>
          </rPr>
          <t xml:space="preserve">Gewerbebetriebe zahlen keine Umsatzsteuer auf Eigenverbrauch </t>
        </r>
        <r>
          <rPr>
            <sz val="9"/>
            <color indexed="81"/>
            <rFont val="Tahoma"/>
            <family val="2"/>
          </rPr>
          <t xml:space="preserve">
</t>
        </r>
      </text>
    </comment>
    <comment ref="B70" authorId="1" shapeId="0" xr:uid="{00000000-0006-0000-0100-00000F000000}">
      <text>
        <r>
          <rPr>
            <b/>
            <sz val="9"/>
            <color indexed="81"/>
            <rFont val="Arial"/>
            <family val="2"/>
          </rPr>
          <t xml:space="preserve">In some countries and regiosn, prior to the respective year of commissioning of the PV system, a maximum (e.g. 40%in Germany) of the acquisition costs can be claimed against tax in the year of the investment decision (in the case of a binding order for the PV system, insofar as a company is first established for this purpose) like other expenses.
(investment deduction). 
</t>
        </r>
      </text>
    </comment>
    <comment ref="B71" authorId="1" shapeId="0" xr:uid="{00000000-0006-0000-0100-000010000000}">
      <text>
        <r>
          <rPr>
            <b/>
            <sz val="9"/>
            <color indexed="81"/>
            <rFont val="Arial"/>
            <family val="2"/>
          </rPr>
          <t xml:space="preserve">In some European countries and reagions, in the year of commissioning and in the 4 e.g. following years, in addition to straight-line or declining-balance depreciation, special depreciation totaling e.g. 20% can be applied.
In the calculation sheet, 19% is depreciated in the year of commissioning and 1% in the 5th year.
</t>
        </r>
      </text>
    </comment>
  </commentList>
</comments>
</file>

<file path=xl/sharedStrings.xml><?xml version="1.0" encoding="utf-8"?>
<sst xmlns="http://schemas.openxmlformats.org/spreadsheetml/2006/main" count="197" uniqueCount="156">
  <si>
    <t>p.a.</t>
  </si>
  <si>
    <t>kWp</t>
  </si>
  <si>
    <t>€/kWp</t>
  </si>
  <si>
    <t>€</t>
  </si>
  <si>
    <t>Jahre</t>
  </si>
  <si>
    <t>kWh/a</t>
  </si>
  <si>
    <t>April</t>
  </si>
  <si>
    <t>August</t>
  </si>
  <si>
    <t>September</t>
  </si>
  <si>
    <t>November</t>
  </si>
  <si>
    <t>nein</t>
  </si>
  <si>
    <t>€/kWh</t>
  </si>
  <si>
    <t xml:space="preserve">€    </t>
  </si>
  <si>
    <t>ja</t>
  </si>
  <si>
    <t>PVGIS</t>
  </si>
  <si>
    <t>LCOE=</t>
  </si>
  <si>
    <t>Gewerbebetrieb? (ja/nein)</t>
  </si>
  <si>
    <t>€ p.a.</t>
  </si>
  <si>
    <t>€/a</t>
  </si>
  <si>
    <t>Kleinunternehmerregelung (KUR) (ja / nein)</t>
  </si>
  <si>
    <t xml:space="preserve">  Jährl. Steigerung des Erlöses bei DV</t>
  </si>
  <si>
    <t>KUR</t>
  </si>
  <si>
    <t>%</t>
  </si>
  <si>
    <t xml:space="preserve">  Umstellung auf KUR im 7. Jahr</t>
  </si>
  <si>
    <t xml:space="preserve">cashflow </t>
  </si>
  <si>
    <t>Reduktion</t>
  </si>
  <si>
    <t>Status 11/04/2022</t>
  </si>
  <si>
    <t>January</t>
  </si>
  <si>
    <t>February</t>
  </si>
  <si>
    <t>March</t>
  </si>
  <si>
    <t>May</t>
  </si>
  <si>
    <t>June</t>
  </si>
  <si>
    <t>July</t>
  </si>
  <si>
    <t>October</t>
  </si>
  <si>
    <t>December</t>
  </si>
  <si>
    <t>PV electricity remuneration / compensation / tariff</t>
  </si>
  <si>
    <t>production</t>
  </si>
  <si>
    <t>direct use (on-site)</t>
  </si>
  <si>
    <t>grid</t>
  </si>
  <si>
    <t>VAT</t>
  </si>
  <si>
    <t>The framed fields can be changed as desired; the contents are only guide values.</t>
  </si>
  <si>
    <t xml:space="preserve">The other fields are locked against accidental overwriting. </t>
  </si>
  <si>
    <t>The sheet protection can be removed if necessary.</t>
  </si>
  <si>
    <t>PV plant</t>
  </si>
  <si>
    <t>€   corresponds</t>
  </si>
  <si>
    <t>specific electricity yield</t>
  </si>
  <si>
    <t>other running cost e.g. roof rental costs</t>
  </si>
  <si>
    <t>kWh/kWpa     see:</t>
  </si>
  <si>
    <t>PV power feed into the power storage / battery</t>
  </si>
  <si>
    <t>Year of start up PV system</t>
  </si>
  <si>
    <t>proportionale solar yield in the year of start-up</t>
  </si>
  <si>
    <t>corresponds</t>
  </si>
  <si>
    <t>self-financing share</t>
  </si>
  <si>
    <t xml:space="preserve">     payment</t>
  </si>
  <si>
    <t xml:space="preserve">     provision per month</t>
  </si>
  <si>
    <t xml:space="preserve">     interest rate (nominal)</t>
  </si>
  <si>
    <t xml:space="preserve">     period / runtime</t>
  </si>
  <si>
    <t>years</t>
  </si>
  <si>
    <t xml:space="preserve">     period of fixed interest rate (5 / 10 / 20 years)</t>
  </si>
  <si>
    <t xml:space="preserve">     Redemption/ repayment free period</t>
  </si>
  <si>
    <t xml:space="preserve">     Interest rate after period / runtime of fixed interest rate</t>
  </si>
  <si>
    <t>1st credit / loan</t>
  </si>
  <si>
    <t>Interest rate on reinvestment</t>
  </si>
  <si>
    <t>Annual electricity consumption</t>
  </si>
  <si>
    <t xml:space="preserve">  estimated Electricity price increase</t>
  </si>
  <si>
    <t>€/kWh gross</t>
  </si>
  <si>
    <t>Electricity revenue from direct marketing (DV)</t>
  </si>
  <si>
    <t>feed-in tarif for PV electricity</t>
  </si>
  <si>
    <t>€/kWh on self-consumption</t>
  </si>
  <si>
    <t>Investment deduction in %</t>
  </si>
  <si>
    <t>20% special depreciation?</t>
  </si>
  <si>
    <t>yes</t>
  </si>
  <si>
    <t>no</t>
  </si>
  <si>
    <t>Preset list for entries</t>
  </si>
  <si>
    <t>month</t>
  </si>
  <si>
    <t>year</t>
  </si>
  <si>
    <t>calender year</t>
  </si>
  <si>
    <t>savings
€/a</t>
  </si>
  <si>
    <t>PV electricity
feed-in tarif
€/a</t>
  </si>
  <si>
    <t>status 11/04/2022</t>
  </si>
  <si>
    <t>notes:</t>
  </si>
  <si>
    <t>results:</t>
  </si>
  <si>
    <t>internal rate of return (IRR)</t>
  </si>
  <si>
    <t>payback period</t>
  </si>
  <si>
    <t>electricity generation costs (LCOE)</t>
  </si>
  <si>
    <t xml:space="preserve">net present value (profit or loss) </t>
  </si>
  <si>
    <t>initial equity (incl. VAT)</t>
  </si>
  <si>
    <t>power storage / battery (yes=1, no=0)</t>
  </si>
  <si>
    <t>subsidy for power storage / battery</t>
  </si>
  <si>
    <t>preliminary costs, interim financing</t>
  </si>
  <si>
    <t>running cost for PV system</t>
  </si>
  <si>
    <t>yield decrease per year</t>
  </si>
  <si>
    <t>direct use in % of PV electricity yield</t>
  </si>
  <si>
    <t>power stroage / battery charge-discharge losses</t>
  </si>
  <si>
    <t>annual decrease in direct use via power storage / battery</t>
  </si>
  <si>
    <t>year of start up PV system</t>
  </si>
  <si>
    <t>month of start up PV system (1-12)</t>
  </si>
  <si>
    <t>total installation cost PV system (incl. Batteries etc.)</t>
  </si>
  <si>
    <t>financing</t>
  </si>
  <si>
    <t>miscellaneous</t>
  </si>
  <si>
    <t>income tax exemption (yes/no)</t>
  </si>
  <si>
    <t>direct selling via power purchase agreements (yes/no)</t>
  </si>
  <si>
    <t>inflation rate</t>
  </si>
  <si>
    <t xml:space="preserve">direct selling via </t>
  </si>
  <si>
    <t>power purchase
agreements €/a</t>
  </si>
  <si>
    <t>surcharges
€/a</t>
  </si>
  <si>
    <t>direct use (on-site)
€/a</t>
  </si>
  <si>
    <t>costs (OPEX)
€/a</t>
  </si>
  <si>
    <t>running costs</t>
  </si>
  <si>
    <t>roof rent
€/a</t>
  </si>
  <si>
    <t>interests
€/a</t>
  </si>
  <si>
    <t>1st credit/loan</t>
  </si>
  <si>
    <t>2nd credit/loan</t>
  </si>
  <si>
    <t>repayments
€/a</t>
  </si>
  <si>
    <t>residual</t>
  </si>
  <si>
    <t>dept €</t>
  </si>
  <si>
    <t>annuity €/a</t>
  </si>
  <si>
    <t>interests €/a</t>
  </si>
  <si>
    <t xml:space="preserve">
repayments€/a</t>
  </si>
  <si>
    <t>Invest deduction</t>
  </si>
  <si>
    <t>cashflow €</t>
  </si>
  <si>
    <t>unplanned
deduction €/a</t>
  </si>
  <si>
    <t>residual
value €</t>
  </si>
  <si>
    <t>yearly
deduction €/a</t>
  </si>
  <si>
    <t>taxable</t>
  </si>
  <si>
    <t>result €</t>
  </si>
  <si>
    <t>tax</t>
  </si>
  <si>
    <t>effect €</t>
  </si>
  <si>
    <t>after interest
and taxes</t>
  </si>
  <si>
    <t>Net present
value €</t>
  </si>
  <si>
    <t>capital value €</t>
  </si>
  <si>
    <t>discounted</t>
  </si>
  <si>
    <t>discounted
€</t>
  </si>
  <si>
    <t>Yield (kWh/a)</t>
  </si>
  <si>
    <t>payback time</t>
  </si>
  <si>
    <t>Questions will be answered by Johannes Lindorfer, Energy Institute at the Johannes Kepler University Linz, Austria, lindorfer@energieinstitut-linz.at</t>
  </si>
  <si>
    <t xml:space="preserve">The Excel spreadsheet has been carefully tested. Nevertheless, no guarantee can be given for the correctness and the correct function. </t>
  </si>
  <si>
    <t xml:space="preserve">Energieinstitut an der Johannes Kepler Universität Linz
lindorfer@energieinstitut-linz.at
</t>
  </si>
  <si>
    <t>prepared by
Johannes Lindorfer
within the framework of the project SDGStriker</t>
  </si>
  <si>
    <r>
      <t xml:space="preserve">
Function and result of the calculation table:
</t>
    </r>
    <r>
      <rPr>
        <sz val="10"/>
        <color rgb="FF006600"/>
        <rFont val="Arial"/>
        <family val="2"/>
      </rPr>
      <t xml:space="preserve">The spreadsheet </t>
    </r>
    <r>
      <rPr>
        <b/>
        <sz val="10"/>
        <color rgb="FF006600"/>
        <rFont val="Arial"/>
        <family val="2"/>
      </rPr>
      <t>allows the calculation of the profitability of solar power systems for sports clubs</t>
    </r>
    <r>
      <rPr>
        <sz val="10"/>
        <color rgb="FF006600"/>
        <rFont val="Arial"/>
        <family val="2"/>
      </rPr>
      <t xml:space="preserve"> (photovoltaic systems) taking into account tax aspects. The value added tax on the acquisition costs is refunded and is therefore treated as a transitory item in the invoice. The average return (internal rate of return) is given as a measure of profitability. 
</t>
    </r>
    <r>
      <rPr>
        <b/>
        <sz val="10"/>
        <color rgb="FF006600"/>
        <rFont val="Arial"/>
        <family val="2"/>
      </rPr>
      <t>Annual returns are calculated as the difference between revenues and expenses.</t>
    </r>
    <r>
      <rPr>
        <sz val="10"/>
        <color rgb="FF006600"/>
        <rFont val="Arial"/>
        <family val="2"/>
      </rPr>
      <t xml:space="preserve"> The revenues are generated from the sale of electricity and the savings from direct consumption, while the expenses are calculated from the running costs and the debt service. For the latter, it is assumed for simplicity that the loan (e.g. from local providers) was paid out either at the beginning or in the middle of the year, depending on whether the PV system goes into operation in the first or second half of the year.</t>
    </r>
  </si>
  <si>
    <r>
      <t xml:space="preserve">The </t>
    </r>
    <r>
      <rPr>
        <b/>
        <sz val="10"/>
        <color rgb="FF006600"/>
        <rFont val="Arial"/>
        <family val="2"/>
      </rPr>
      <t>electricity yield</t>
    </r>
    <r>
      <rPr>
        <sz val="10"/>
        <color rgb="FF006600"/>
        <rFont val="Arial"/>
        <family val="2"/>
      </rPr>
      <t xml:space="preserve"> is subject to regional differences. In the central europe area, one can assume 1000 kWh/a per kWp of installed capacity. In the more northern partner regions like scotland or norway, the yield is significantly lower (up to 20%), in the south like portugal and spain</t>
    </r>
  </si>
  <si>
    <r>
      <t xml:space="preserve">The </t>
    </r>
    <r>
      <rPr>
        <b/>
        <sz val="10"/>
        <color rgb="FF006600"/>
        <rFont val="Arial"/>
        <family val="2"/>
      </rPr>
      <t>inflation rate</t>
    </r>
    <r>
      <rPr>
        <sz val="10"/>
        <color rgb="FF006600"/>
        <rFont val="Arial"/>
        <family val="2"/>
      </rPr>
      <t xml:space="preserve"> is included in the calculation because it is assumed that the running costs (insurance, maintenance) increase with the inflation rate.</t>
    </r>
  </si>
  <si>
    <r>
      <rPr>
        <b/>
        <sz val="10"/>
        <color rgb="FF006600"/>
        <rFont val="Arial"/>
        <family val="2"/>
      </rPr>
      <t xml:space="preserve">Systems with storage system: </t>
    </r>
    <r>
      <rPr>
        <sz val="10"/>
        <color rgb="FF006600"/>
        <rFont val="Arial"/>
        <family val="2"/>
      </rPr>
      <t xml:space="preserve">Storage systems are then treated as part of the system for tax purposes if they are installed together with the PV system. </t>
    </r>
  </si>
  <si>
    <r>
      <t xml:space="preserve">Note: </t>
    </r>
    <r>
      <rPr>
        <sz val="10"/>
        <color rgb="FF006600"/>
        <rFont val="Arial"/>
        <family val="2"/>
      </rPr>
      <t>The result for the internal rate of return (IRR) depends on the equity capital employed. As a rule, it is higher the larger the share of debt financing. In some cases (e.g. if the plant is largely debt financed) the calculation of the IRR leads to an error message (#Div/0!). The decisive factor is then the net present value, i.e. the sum of the annual returns discounted at the discount rate. A positive net present value means profit, a negative net present value means loss.</t>
    </r>
  </si>
  <si>
    <r>
      <t>Plant capacity</t>
    </r>
    <r>
      <rPr>
        <sz val="8"/>
        <color rgb="FF006600"/>
        <rFont val="Arial"/>
        <family val="2"/>
      </rPr>
      <t xml:space="preserve"> (data representative &lt; 100 kWp)</t>
    </r>
  </si>
  <si>
    <r>
      <rPr>
        <b/>
        <sz val="10"/>
        <color rgb="FF006600"/>
        <rFont val="Arial"/>
        <family val="2"/>
      </rPr>
      <t>installation cost of the PV system</t>
    </r>
    <r>
      <rPr>
        <sz val="10"/>
        <color rgb="FF006600"/>
        <rFont val="Arial"/>
        <family val="2"/>
      </rPr>
      <t xml:space="preserve"> </t>
    </r>
    <r>
      <rPr>
        <sz val="8"/>
        <color rgb="FF006600"/>
        <rFont val="Arial"/>
        <family val="2"/>
      </rPr>
      <t>(without batteries, net, without VAT)</t>
    </r>
  </si>
  <si>
    <r>
      <rPr>
        <b/>
        <sz val="10"/>
        <color rgb="FF006600"/>
        <rFont val="Arial"/>
        <family val="2"/>
      </rPr>
      <t>subsidy</t>
    </r>
    <r>
      <rPr>
        <sz val="10"/>
        <color rgb="FF006600"/>
        <rFont val="Arial"/>
        <family val="2"/>
      </rPr>
      <t xml:space="preserve"> for PV system</t>
    </r>
  </si>
  <si>
    <r>
      <t xml:space="preserve">cost of power storage / battery system </t>
    </r>
    <r>
      <rPr>
        <sz val="8"/>
        <color rgb="FF006600"/>
        <rFont val="Arial"/>
        <family val="2"/>
      </rPr>
      <t>(net, without VAT)</t>
    </r>
  </si>
  <si>
    <r>
      <t xml:space="preserve">2nd credit / loan </t>
    </r>
    <r>
      <rPr>
        <sz val="8"/>
        <color rgb="FF006600"/>
        <rFont val="Arial"/>
        <family val="2"/>
      </rPr>
      <t>(constant annuities)</t>
    </r>
  </si>
  <si>
    <r>
      <t xml:space="preserve">interest rate for present value calculation </t>
    </r>
    <r>
      <rPr>
        <sz val="8"/>
        <color rgb="FF006600"/>
        <rFont val="Arial"/>
        <family val="2"/>
      </rPr>
      <t>(discount rate)</t>
    </r>
  </si>
  <si>
    <r>
      <t xml:space="preserve">Annual basic charge for electricity </t>
    </r>
    <r>
      <rPr>
        <sz val="8"/>
        <color rgb="FF006600"/>
        <rFont val="Arial"/>
        <family val="2"/>
      </rPr>
      <t>(net, without VAT)</t>
    </r>
  </si>
  <si>
    <r>
      <t xml:space="preserve">Electricity price in the first year </t>
    </r>
    <r>
      <rPr>
        <sz val="8"/>
        <color rgb="FF006600"/>
        <rFont val="Arial"/>
        <family val="2"/>
      </rPr>
      <t>(net, without VAT)</t>
    </r>
  </si>
  <si>
    <r>
      <t xml:space="preserve">individual tax rate </t>
    </r>
    <r>
      <rPr>
        <sz val="8"/>
        <color rgb="FF006600"/>
        <rFont val="Arial"/>
        <family val="2"/>
      </rPr>
      <t>(in the first 10 years)</t>
    </r>
  </si>
  <si>
    <r>
      <t xml:space="preserve">Tax rate </t>
    </r>
    <r>
      <rPr>
        <sz val="8"/>
        <color rgb="FF006600"/>
        <rFont val="Arial"/>
        <family val="2"/>
      </rPr>
      <t>(after 10 years)</t>
    </r>
  </si>
  <si>
    <t>estimating economic efficiency of photovoltaic plants</t>
  </si>
  <si>
    <r>
      <t xml:space="preserve">
</t>
    </r>
    <r>
      <rPr>
        <b/>
        <i/>
        <sz val="16"/>
        <color theme="0"/>
        <rFont val="Roboto"/>
      </rPr>
      <t xml:space="preserve">Estimation of economic efficiency of PV plants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</si>
</sst>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D_M_-;\-* #,##0.00\ _D_M_-;_-* &quot;-&quot;??\ _D_M_-;_-@_-"/>
    <numFmt numFmtId="165" formatCode="0.0000"/>
    <numFmt numFmtId="166" formatCode="0.0%"/>
    <numFmt numFmtId="167" formatCode="#,##0.0"/>
    <numFmt numFmtId="168" formatCode="#,##0.000"/>
    <numFmt numFmtId="169" formatCode="#,##0.0000"/>
    <numFmt numFmtId="170" formatCode="0.000"/>
    <numFmt numFmtId="171" formatCode="0.00000"/>
  </numFmts>
  <fonts count="51" x14ac:knownFonts="1">
    <font>
      <sz val="10"/>
      <name val="Arial"/>
    </font>
    <font>
      <sz val="10"/>
      <name val="Arial"/>
      <family val="2"/>
    </font>
    <font>
      <b/>
      <sz val="12"/>
      <color indexed="8"/>
      <name val="Arial"/>
      <family val="2"/>
    </font>
    <font>
      <sz val="10"/>
      <color indexed="8"/>
      <name val="Arial"/>
      <family val="2"/>
    </font>
    <font>
      <b/>
      <sz val="10"/>
      <color indexed="8"/>
      <name val="Arial"/>
      <family val="2"/>
    </font>
    <font>
      <sz val="9"/>
      <color indexed="8"/>
      <name val="Arial"/>
      <family val="2"/>
    </font>
    <font>
      <u/>
      <sz val="10"/>
      <color indexed="12"/>
      <name val="Arial"/>
      <family val="2"/>
    </font>
    <font>
      <b/>
      <sz val="12"/>
      <name val="Arial"/>
      <family val="2"/>
    </font>
    <font>
      <b/>
      <sz val="9"/>
      <color indexed="8"/>
      <name val="Arial"/>
      <family val="2"/>
    </font>
    <font>
      <sz val="9"/>
      <name val="Arial"/>
      <family val="2"/>
    </font>
    <font>
      <b/>
      <u/>
      <sz val="10"/>
      <color indexed="12"/>
      <name val="Arial"/>
      <family val="2"/>
    </font>
    <font>
      <b/>
      <sz val="10"/>
      <name val="Arial"/>
      <family val="2"/>
    </font>
    <font>
      <sz val="10"/>
      <name val="Arial"/>
      <family val="2"/>
    </font>
    <font>
      <b/>
      <sz val="10"/>
      <color indexed="18"/>
      <name val="Arial"/>
      <family val="2"/>
    </font>
    <font>
      <sz val="10"/>
      <color indexed="18"/>
      <name val="Arial"/>
      <family val="2"/>
    </font>
    <font>
      <b/>
      <sz val="9"/>
      <color indexed="81"/>
      <name val="Tahoma"/>
      <family val="2"/>
    </font>
    <font>
      <sz val="10"/>
      <color indexed="23"/>
      <name val="Arial"/>
      <family val="2"/>
    </font>
    <font>
      <sz val="9"/>
      <color indexed="23"/>
      <name val="Arial"/>
      <family val="2"/>
    </font>
    <font>
      <sz val="14"/>
      <name val="Arial"/>
      <family val="2"/>
    </font>
    <font>
      <i/>
      <sz val="10"/>
      <name val="Arial"/>
      <family val="2"/>
    </font>
    <font>
      <b/>
      <sz val="9"/>
      <color indexed="81"/>
      <name val="Arial"/>
      <family val="2"/>
    </font>
    <font>
      <sz val="10"/>
      <color indexed="56"/>
      <name val="Arial"/>
      <family val="2"/>
    </font>
    <font>
      <sz val="10"/>
      <color indexed="23"/>
      <name val="Arial"/>
      <family val="2"/>
    </font>
    <font>
      <sz val="9"/>
      <color indexed="23"/>
      <name val="Arial"/>
      <family val="2"/>
    </font>
    <font>
      <sz val="10"/>
      <color indexed="23"/>
      <name val="Arial"/>
      <family val="2"/>
    </font>
    <font>
      <b/>
      <sz val="10"/>
      <color indexed="12"/>
      <name val="Arial"/>
      <family val="2"/>
    </font>
    <font>
      <sz val="9"/>
      <color indexed="12"/>
      <name val="Arial"/>
      <family val="2"/>
    </font>
    <font>
      <sz val="10"/>
      <color indexed="12"/>
      <name val="Arial"/>
      <family val="2"/>
    </font>
    <font>
      <sz val="9"/>
      <color indexed="81"/>
      <name val="Tahoma"/>
      <family val="2"/>
    </font>
    <font>
      <b/>
      <sz val="9"/>
      <color indexed="8"/>
      <name val="Tahoma"/>
      <family val="2"/>
    </font>
    <font>
      <b/>
      <sz val="9"/>
      <color indexed="81"/>
      <name val="Segoe UI"/>
      <family val="2"/>
    </font>
    <font>
      <sz val="9"/>
      <color indexed="81"/>
      <name val="Segoe UI"/>
      <family val="2"/>
    </font>
    <font>
      <sz val="10"/>
      <color rgb="FFFF0000"/>
      <name val="Arial"/>
      <family val="2"/>
    </font>
    <font>
      <sz val="10"/>
      <color theme="0" tint="-0.499984740745262"/>
      <name val="Arial"/>
      <family val="2"/>
    </font>
    <font>
      <b/>
      <sz val="10"/>
      <color rgb="FF006600"/>
      <name val="Arial"/>
      <family val="2"/>
    </font>
    <font>
      <b/>
      <sz val="12"/>
      <color theme="0"/>
      <name val="Arial"/>
      <family val="2"/>
    </font>
    <font>
      <sz val="10"/>
      <color theme="0"/>
      <name val="Arial"/>
      <family val="2"/>
    </font>
    <font>
      <b/>
      <sz val="10"/>
      <color theme="0"/>
      <name val="Arial"/>
      <family val="2"/>
    </font>
    <font>
      <b/>
      <sz val="10"/>
      <color rgb="FF52AA6B"/>
      <name val="Arial"/>
      <family val="2"/>
    </font>
    <font>
      <sz val="10"/>
      <color theme="1" tint="0.249977111117893"/>
      <name val="Arial"/>
      <family val="2"/>
    </font>
    <font>
      <b/>
      <sz val="10"/>
      <color theme="1" tint="0.249977111117893"/>
      <name val="Arial"/>
      <family val="2"/>
    </font>
    <font>
      <sz val="9"/>
      <color theme="1" tint="0.249977111117893"/>
      <name val="Arial"/>
      <family val="2"/>
    </font>
    <font>
      <sz val="10"/>
      <color rgb="FF006600"/>
      <name val="Arial"/>
      <family val="2"/>
    </font>
    <font>
      <sz val="9"/>
      <color rgb="FF006600"/>
      <name val="Arial"/>
      <family val="2"/>
    </font>
    <font>
      <b/>
      <sz val="9"/>
      <color rgb="FF006600"/>
      <name val="Arial"/>
      <family val="2"/>
    </font>
    <font>
      <sz val="8"/>
      <color rgb="FF006600"/>
      <name val="Arial"/>
      <family val="2"/>
    </font>
    <font>
      <u/>
      <sz val="10"/>
      <color rgb="FF006600"/>
      <name val="Arial"/>
      <family val="2"/>
    </font>
    <font>
      <b/>
      <sz val="8"/>
      <color theme="0"/>
      <name val="Arial"/>
      <family val="2"/>
    </font>
    <font>
      <b/>
      <sz val="16"/>
      <color theme="0"/>
      <name val="Arial"/>
      <family val="2"/>
    </font>
    <font>
      <b/>
      <i/>
      <sz val="16"/>
      <color theme="0"/>
      <name val="Roboto"/>
    </font>
    <font>
      <sz val="10"/>
      <color rgb="FF52AA6B"/>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52AA6B"/>
        <bgColor indexed="64"/>
      </patternFill>
    </fill>
    <fill>
      <patternFill patternType="solid">
        <fgColor rgb="FFF7F0DF"/>
        <bgColor indexed="64"/>
      </patternFill>
    </fill>
    <fill>
      <patternFill patternType="solid">
        <fgColor rgb="FFF7F0DF"/>
        <bgColor indexed="26"/>
      </patternFill>
    </fill>
  </fills>
  <borders count="5">
    <border>
      <left/>
      <right/>
      <top/>
      <bottom/>
      <diagonal/>
    </border>
    <border>
      <left/>
      <right/>
      <top/>
      <bottom style="thin">
        <color indexed="64"/>
      </bottom>
      <diagonal/>
    </border>
    <border>
      <left style="thin">
        <color rgb="FF52AA6B"/>
      </left>
      <right style="thin">
        <color rgb="FF52AA6B"/>
      </right>
      <top style="thin">
        <color rgb="FF52AA6B"/>
      </top>
      <bottom style="thin">
        <color rgb="FF52AA6B"/>
      </bottom>
      <diagonal/>
    </border>
    <border>
      <left style="thin">
        <color rgb="FF52AA6B"/>
      </left>
      <right style="thin">
        <color rgb="FF52AA6B"/>
      </right>
      <top style="thin">
        <color rgb="FF52AA6B"/>
      </top>
      <bottom/>
      <diagonal/>
    </border>
    <border>
      <left style="thin">
        <color rgb="FF52AA6B"/>
      </left>
      <right style="thin">
        <color rgb="FF52AA6B"/>
      </right>
      <top/>
      <bottom style="thin">
        <color rgb="FF52AA6B"/>
      </bottom>
      <diagonal/>
    </border>
  </borders>
  <cellStyleXfs count="4">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08">
    <xf numFmtId="0" fontId="0" fillId="0" borderId="0" xfId="0"/>
    <xf numFmtId="0" fontId="0" fillId="0" borderId="0" xfId="0" applyAlignment="1">
      <alignment wrapText="1"/>
    </xf>
    <xf numFmtId="0" fontId="9" fillId="0" borderId="0" xfId="0" applyFont="1"/>
    <xf numFmtId="3" fontId="9" fillId="0" borderId="0" xfId="0" applyNumberFormat="1" applyFont="1"/>
    <xf numFmtId="3" fontId="9" fillId="0" borderId="0" xfId="0" applyNumberFormat="1" applyFont="1" applyAlignment="1">
      <alignment horizontal="right"/>
    </xf>
    <xf numFmtId="3" fontId="0" fillId="0" borderId="0" xfId="0" applyNumberFormat="1"/>
    <xf numFmtId="0" fontId="1" fillId="0" borderId="0" xfId="0" applyFont="1"/>
    <xf numFmtId="166" fontId="1" fillId="0" borderId="0" xfId="0" applyNumberFormat="1" applyFont="1"/>
    <xf numFmtId="166" fontId="1" fillId="0" borderId="1" xfId="0" applyNumberFormat="1" applyFont="1" applyBorder="1"/>
    <xf numFmtId="3" fontId="17" fillId="0" borderId="0" xfId="0" applyNumberFormat="1" applyFont="1"/>
    <xf numFmtId="0" fontId="18" fillId="0" borderId="0" xfId="0" applyFont="1" applyFill="1"/>
    <xf numFmtId="0" fontId="1" fillId="0" borderId="0" xfId="0" applyFont="1" applyFill="1"/>
    <xf numFmtId="4" fontId="3" fillId="0" borderId="0" xfId="0" applyNumberFormat="1" applyFont="1" applyFill="1" applyAlignment="1">
      <alignment horizontal="right"/>
    </xf>
    <xf numFmtId="4" fontId="3" fillId="0" borderId="0" xfId="0" applyNumberFormat="1" applyFont="1" applyFill="1" applyAlignment="1">
      <alignment horizontal="center"/>
    </xf>
    <xf numFmtId="3" fontId="10" fillId="0" borderId="0" xfId="2" applyNumberFormat="1" applyFont="1" applyFill="1" applyBorder="1" applyAlignment="1" applyProtection="1">
      <alignment horizontal="left" wrapText="1"/>
    </xf>
    <xf numFmtId="0" fontId="0" fillId="0" borderId="0" xfId="0" applyFill="1"/>
    <xf numFmtId="0" fontId="11" fillId="0" borderId="0" xfId="0" applyFont="1" applyAlignment="1"/>
    <xf numFmtId="0" fontId="0" fillId="0" borderId="0" xfId="0" applyBorder="1" applyAlignment="1">
      <alignment wrapText="1"/>
    </xf>
    <xf numFmtId="0" fontId="19" fillId="0" borderId="0" xfId="0" applyFont="1" applyBorder="1" applyAlignment="1">
      <alignment horizontal="left" wrapText="1"/>
    </xf>
    <xf numFmtId="165" fontId="0" fillId="0" borderId="0" xfId="0" applyNumberFormat="1"/>
    <xf numFmtId="165" fontId="21" fillId="0" borderId="0" xfId="0" applyNumberFormat="1" applyFont="1"/>
    <xf numFmtId="166" fontId="0" fillId="0" borderId="0" xfId="3" applyNumberFormat="1" applyFont="1"/>
    <xf numFmtId="4" fontId="22" fillId="2" borderId="0" xfId="0" applyNumberFormat="1" applyFont="1" applyFill="1" applyAlignment="1" applyProtection="1">
      <alignment horizontal="center"/>
    </xf>
    <xf numFmtId="3" fontId="22" fillId="2" borderId="0" xfId="0" applyNumberFormat="1" applyFont="1" applyFill="1" applyAlignment="1" applyProtection="1">
      <alignment horizontal="center"/>
    </xf>
    <xf numFmtId="4" fontId="5" fillId="2" borderId="0" xfId="0" applyNumberFormat="1" applyFont="1" applyFill="1" applyAlignment="1" applyProtection="1">
      <alignment horizontal="right"/>
    </xf>
    <xf numFmtId="4" fontId="5" fillId="2" borderId="0" xfId="0" applyNumberFormat="1" applyFont="1" applyFill="1" applyAlignment="1" applyProtection="1">
      <alignment horizontal="center"/>
    </xf>
    <xf numFmtId="4" fontId="3" fillId="2" borderId="0" xfId="0" applyNumberFormat="1" applyFont="1" applyFill="1" applyAlignment="1" applyProtection="1">
      <alignment horizontal="center"/>
    </xf>
    <xf numFmtId="0" fontId="19" fillId="0" borderId="0" xfId="0" applyNumberFormat="1" applyFont="1" applyBorder="1" applyAlignment="1">
      <alignment horizontal="left" wrapText="1"/>
    </xf>
    <xf numFmtId="4" fontId="2" fillId="2" borderId="0" xfId="0" applyNumberFormat="1" applyFont="1" applyFill="1" applyAlignment="1" applyProtection="1">
      <alignment horizontal="right"/>
    </xf>
    <xf numFmtId="4" fontId="2" fillId="2" borderId="0" xfId="0" applyNumberFormat="1" applyFont="1" applyFill="1" applyAlignment="1" applyProtection="1">
      <alignment horizontal="center"/>
    </xf>
    <xf numFmtId="4" fontId="8" fillId="2" borderId="0" xfId="0" applyNumberFormat="1" applyFont="1" applyFill="1" applyAlignment="1" applyProtection="1">
      <alignment horizontal="right"/>
    </xf>
    <xf numFmtId="4" fontId="8" fillId="2" borderId="0" xfId="0" applyNumberFormat="1" applyFont="1" applyFill="1" applyAlignment="1" applyProtection="1">
      <alignment horizontal="center"/>
    </xf>
    <xf numFmtId="4" fontId="23" fillId="2" borderId="0" xfId="0" applyNumberFormat="1" applyFont="1" applyFill="1" applyAlignment="1" applyProtection="1">
      <alignment horizontal="right"/>
    </xf>
    <xf numFmtId="4" fontId="23" fillId="2" borderId="0" xfId="0" applyNumberFormat="1" applyFont="1" applyFill="1" applyAlignment="1" applyProtection="1">
      <alignment horizontal="center"/>
    </xf>
    <xf numFmtId="3" fontId="13" fillId="2" borderId="0" xfId="0" applyNumberFormat="1" applyFont="1" applyFill="1" applyAlignment="1" applyProtection="1">
      <alignment horizontal="left"/>
    </xf>
    <xf numFmtId="4" fontId="14" fillId="2" borderId="0" xfId="0" applyNumberFormat="1" applyFont="1" applyFill="1" applyAlignment="1" applyProtection="1">
      <alignment horizontal="center"/>
    </xf>
    <xf numFmtId="4" fontId="4" fillId="2" borderId="0" xfId="0" applyNumberFormat="1" applyFont="1" applyFill="1" applyAlignment="1" applyProtection="1">
      <alignment horizontal="left"/>
    </xf>
    <xf numFmtId="4" fontId="4" fillId="2" borderId="0" xfId="0" applyNumberFormat="1" applyFont="1" applyFill="1" applyAlignment="1" applyProtection="1">
      <alignment horizontal="right"/>
    </xf>
    <xf numFmtId="4" fontId="4" fillId="2" borderId="0" xfId="0" applyNumberFormat="1" applyFont="1" applyFill="1" applyAlignment="1" applyProtection="1">
      <alignment horizontal="center"/>
    </xf>
    <xf numFmtId="4" fontId="3" fillId="2" borderId="0" xfId="0" applyNumberFormat="1" applyFont="1" applyFill="1" applyAlignment="1" applyProtection="1">
      <alignment horizontal="right"/>
    </xf>
    <xf numFmtId="3" fontId="5" fillId="2" borderId="0" xfId="0" applyNumberFormat="1" applyFont="1" applyFill="1" applyAlignment="1" applyProtection="1">
      <alignment horizontal="left"/>
    </xf>
    <xf numFmtId="4" fontId="5" fillId="2" borderId="0" xfId="0" applyNumberFormat="1" applyFont="1" applyFill="1" applyAlignment="1" applyProtection="1">
      <alignment horizontal="left"/>
    </xf>
    <xf numFmtId="0" fontId="0" fillId="0" borderId="0" xfId="0" applyAlignment="1">
      <alignment horizontal="right"/>
    </xf>
    <xf numFmtId="165" fontId="0" fillId="0" borderId="0" xfId="0" applyNumberFormat="1" applyAlignment="1">
      <alignment horizontal="right"/>
    </xf>
    <xf numFmtId="4" fontId="24" fillId="3" borderId="0" xfId="0" applyNumberFormat="1" applyFont="1" applyFill="1" applyAlignment="1" applyProtection="1">
      <alignment horizontal="left"/>
    </xf>
    <xf numFmtId="4" fontId="5" fillId="3" borderId="0" xfId="0" applyNumberFormat="1" applyFont="1" applyFill="1" applyAlignment="1" applyProtection="1">
      <alignment horizontal="right"/>
    </xf>
    <xf numFmtId="4" fontId="2" fillId="3" borderId="0" xfId="0" applyNumberFormat="1" applyFont="1" applyFill="1" applyAlignment="1" applyProtection="1">
      <alignment horizontal="center"/>
    </xf>
    <xf numFmtId="0" fontId="9" fillId="0" borderId="0" xfId="0" applyFont="1" applyFill="1" applyBorder="1"/>
    <xf numFmtId="0" fontId="11" fillId="0" borderId="0" xfId="0" applyFont="1" applyFill="1" applyBorder="1"/>
    <xf numFmtId="3" fontId="9" fillId="0" borderId="0" xfId="0" applyNumberFormat="1" applyFont="1" applyFill="1" applyBorder="1"/>
    <xf numFmtId="4" fontId="11"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4" fontId="11" fillId="0" borderId="0" xfId="0" applyNumberFormat="1" applyFont="1" applyFill="1" applyBorder="1" applyAlignment="1"/>
    <xf numFmtId="4" fontId="11" fillId="0" borderId="0" xfId="0" applyNumberFormat="1" applyFont="1" applyFill="1" applyBorder="1" applyAlignment="1">
      <alignment horizontal="left"/>
    </xf>
    <xf numFmtId="3" fontId="3" fillId="0" borderId="1" xfId="0" applyNumberFormat="1" applyFont="1" applyBorder="1" applyAlignment="1"/>
    <xf numFmtId="3" fontId="12" fillId="0" borderId="0" xfId="0" applyNumberFormat="1" applyFont="1"/>
    <xf numFmtId="3" fontId="1" fillId="0" borderId="0" xfId="0" applyNumberFormat="1" applyFont="1" applyBorder="1"/>
    <xf numFmtId="3" fontId="9" fillId="0" borderId="0" xfId="0" quotePrefix="1" applyNumberFormat="1" applyFont="1"/>
    <xf numFmtId="3" fontId="26" fillId="0" borderId="0" xfId="0" quotePrefix="1" applyNumberFormat="1" applyFont="1"/>
    <xf numFmtId="4" fontId="27" fillId="2" borderId="0" xfId="0" applyNumberFormat="1" applyFont="1" applyFill="1" applyAlignment="1" applyProtection="1">
      <alignment horizontal="left"/>
    </xf>
    <xf numFmtId="4" fontId="25" fillId="2" borderId="0" xfId="0" applyNumberFormat="1" applyFont="1" applyFill="1" applyAlignment="1" applyProtection="1">
      <alignment horizontal="left"/>
    </xf>
    <xf numFmtId="4" fontId="27" fillId="2" borderId="0" xfId="0" quotePrefix="1" applyNumberFormat="1" applyFont="1" applyFill="1" applyAlignment="1" applyProtection="1">
      <alignment horizontal="left"/>
    </xf>
    <xf numFmtId="0" fontId="9" fillId="0" borderId="0" xfId="0" quotePrefix="1" applyFont="1" applyAlignment="1">
      <alignment horizontal="right"/>
    </xf>
    <xf numFmtId="0" fontId="9" fillId="0" borderId="0" xfId="0" applyFont="1" applyAlignment="1">
      <alignment horizontal="right"/>
    </xf>
    <xf numFmtId="3" fontId="25" fillId="2" borderId="0" xfId="0" applyNumberFormat="1" applyFont="1" applyFill="1" applyAlignment="1" applyProtection="1">
      <alignment horizontal="left"/>
    </xf>
    <xf numFmtId="3" fontId="26" fillId="2" borderId="0" xfId="0" applyNumberFormat="1" applyFont="1" applyFill="1" applyAlignment="1" applyProtection="1">
      <alignment horizontal="left"/>
    </xf>
    <xf numFmtId="3" fontId="26" fillId="0" borderId="0" xfId="0" applyNumberFormat="1" applyFont="1"/>
    <xf numFmtId="4" fontId="17" fillId="2" borderId="0" xfId="0" applyNumberFormat="1" applyFont="1" applyFill="1" applyAlignment="1" applyProtection="1">
      <alignment horizontal="right"/>
    </xf>
    <xf numFmtId="3" fontId="22" fillId="2" borderId="0" xfId="0" applyNumberFormat="1" applyFont="1" applyFill="1" applyAlignment="1" applyProtection="1"/>
    <xf numFmtId="1" fontId="22" fillId="2" borderId="0" xfId="0" applyNumberFormat="1" applyFont="1" applyFill="1" applyAlignment="1" applyProtection="1">
      <alignment horizontal="right"/>
    </xf>
    <xf numFmtId="171" fontId="22" fillId="2" borderId="0" xfId="0" applyNumberFormat="1" applyFont="1" applyFill="1" applyAlignment="1" applyProtection="1">
      <alignment horizontal="right"/>
    </xf>
    <xf numFmtId="4" fontId="5" fillId="3" borderId="0" xfId="0" applyNumberFormat="1" applyFont="1" applyFill="1" applyAlignment="1" applyProtection="1">
      <alignment horizontal="left"/>
    </xf>
    <xf numFmtId="9" fontId="22" fillId="2" borderId="0" xfId="3" applyFont="1" applyFill="1" applyAlignment="1" applyProtection="1">
      <alignment horizontal="right"/>
    </xf>
    <xf numFmtId="4" fontId="22" fillId="2" borderId="0" xfId="0" applyNumberFormat="1" applyFont="1" applyFill="1" applyAlignment="1" applyProtection="1">
      <alignment horizontal="right"/>
    </xf>
    <xf numFmtId="165" fontId="32" fillId="0" borderId="0" xfId="0" applyNumberFormat="1" applyFont="1"/>
    <xf numFmtId="9" fontId="0" fillId="0" borderId="0" xfId="3" applyFont="1"/>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4" fontId="13" fillId="2" borderId="0" xfId="0" applyNumberFormat="1" applyFont="1" applyFill="1" applyAlignment="1" applyProtection="1">
      <alignment horizontal="center"/>
    </xf>
    <xf numFmtId="3" fontId="12" fillId="0" borderId="0" xfId="0" applyNumberFormat="1" applyFont="1" applyAlignment="1">
      <alignment horizontal="right"/>
    </xf>
    <xf numFmtId="0" fontId="33" fillId="0" borderId="0" xfId="0" applyFont="1"/>
    <xf numFmtId="170" fontId="33" fillId="0" borderId="0" xfId="0" applyNumberFormat="1" applyFont="1"/>
    <xf numFmtId="4" fontId="16" fillId="2" borderId="0" xfId="0" applyNumberFormat="1" applyFont="1" applyFill="1" applyAlignment="1" applyProtection="1">
      <alignment horizontal="center"/>
    </xf>
    <xf numFmtId="0" fontId="36" fillId="4" borderId="0" xfId="0" applyFont="1" applyFill="1" applyAlignment="1">
      <alignment horizontal="right" wrapText="1"/>
    </xf>
    <xf numFmtId="0" fontId="37" fillId="4" borderId="0" xfId="0" applyFont="1" applyFill="1" applyBorder="1" applyAlignment="1">
      <alignment wrapText="1"/>
    </xf>
    <xf numFmtId="0" fontId="37" fillId="4" borderId="0" xfId="0" applyFont="1" applyFill="1" applyBorder="1" applyAlignment="1">
      <alignment horizontal="right" wrapText="1"/>
    </xf>
    <xf numFmtId="0" fontId="36" fillId="4" borderId="0" xfId="0" applyFont="1" applyFill="1" applyAlignment="1">
      <alignment wrapText="1"/>
    </xf>
    <xf numFmtId="4" fontId="38" fillId="0" borderId="2" xfId="0" applyNumberFormat="1" applyFont="1" applyBorder="1" applyAlignment="1"/>
    <xf numFmtId="3" fontId="38" fillId="0" borderId="2" xfId="0" applyNumberFormat="1" applyFont="1" applyBorder="1" applyAlignment="1"/>
    <xf numFmtId="4" fontId="38" fillId="0" borderId="2" xfId="0" applyNumberFormat="1" applyFont="1" applyFill="1" applyBorder="1" applyAlignment="1"/>
    <xf numFmtId="3" fontId="38" fillId="0" borderId="2" xfId="0" applyNumberFormat="1" applyFont="1" applyBorder="1" applyAlignment="1">
      <alignment horizontal="right"/>
    </xf>
    <xf numFmtId="4" fontId="38" fillId="0" borderId="2" xfId="0" applyNumberFormat="1" applyFont="1" applyBorder="1" applyAlignment="1">
      <alignment wrapText="1"/>
    </xf>
    <xf numFmtId="3" fontId="38" fillId="0" borderId="2" xfId="0" applyNumberFormat="1" applyFont="1" applyBorder="1" applyAlignment="1">
      <alignment wrapText="1"/>
    </xf>
    <xf numFmtId="4" fontId="38" fillId="0" borderId="2" xfId="0" applyNumberFormat="1" applyFont="1" applyFill="1" applyBorder="1" applyAlignment="1">
      <alignment wrapText="1"/>
    </xf>
    <xf numFmtId="3" fontId="39" fillId="5" borderId="2" xfId="0" applyNumberFormat="1" applyFont="1" applyFill="1" applyBorder="1" applyAlignment="1">
      <alignment horizontal="right"/>
    </xf>
    <xf numFmtId="4" fontId="40" fillId="5" borderId="2" xfId="0" applyNumberFormat="1" applyFont="1" applyFill="1" applyBorder="1" applyAlignment="1"/>
    <xf numFmtId="9" fontId="39" fillId="5" borderId="2" xfId="3" applyFont="1" applyFill="1" applyBorder="1" applyAlignment="1"/>
    <xf numFmtId="3" fontId="39" fillId="5" borderId="2" xfId="0" applyNumberFormat="1" applyFont="1" applyFill="1" applyBorder="1" applyAlignment="1"/>
    <xf numFmtId="3" fontId="40" fillId="5" borderId="2" xfId="0" applyNumberFormat="1" applyFont="1" applyFill="1" applyBorder="1" applyAlignment="1"/>
    <xf numFmtId="3" fontId="40" fillId="5" borderId="2" xfId="0" applyNumberFormat="1" applyFont="1" applyFill="1" applyBorder="1" applyAlignment="1">
      <alignment horizontal="right"/>
    </xf>
    <xf numFmtId="4" fontId="40" fillId="5" borderId="2" xfId="0" applyNumberFormat="1" applyFont="1" applyFill="1" applyBorder="1" applyAlignment="1">
      <alignment horizontal="right"/>
    </xf>
    <xf numFmtId="1" fontId="39" fillId="5" borderId="2" xfId="0" applyNumberFormat="1" applyFont="1" applyFill="1" applyBorder="1" applyAlignment="1">
      <alignment horizontal="right"/>
    </xf>
    <xf numFmtId="9" fontId="39" fillId="5" borderId="2" xfId="3" applyFont="1" applyFill="1" applyBorder="1" applyAlignment="1">
      <alignment horizontal="right"/>
    </xf>
    <xf numFmtId="4" fontId="39" fillId="5" borderId="2" xfId="0" applyNumberFormat="1" applyFont="1" applyFill="1" applyBorder="1" applyAlignment="1">
      <alignment horizontal="right"/>
    </xf>
    <xf numFmtId="0" fontId="40" fillId="5" borderId="2" xfId="0" applyFont="1" applyFill="1" applyBorder="1"/>
    <xf numFmtId="3" fontId="40" fillId="5" borderId="2" xfId="0" applyNumberFormat="1" applyFont="1" applyFill="1" applyBorder="1"/>
    <xf numFmtId="0" fontId="39" fillId="5" borderId="2" xfId="0" applyFont="1" applyFill="1" applyBorder="1"/>
    <xf numFmtId="3" fontId="39" fillId="5" borderId="2" xfId="0" applyNumberFormat="1" applyFont="1" applyFill="1" applyBorder="1"/>
    <xf numFmtId="166" fontId="39" fillId="5" borderId="2" xfId="3" applyNumberFormat="1" applyFont="1" applyFill="1" applyBorder="1"/>
    <xf numFmtId="166" fontId="40" fillId="5" borderId="2" xfId="3" applyNumberFormat="1" applyFont="1" applyFill="1" applyBorder="1"/>
    <xf numFmtId="0" fontId="41" fillId="5" borderId="2" xfId="0" applyFont="1" applyFill="1" applyBorder="1" applyAlignment="1">
      <alignment horizontal="right"/>
    </xf>
    <xf numFmtId="169" fontId="40" fillId="5" borderId="2" xfId="0" applyNumberFormat="1" applyFont="1" applyFill="1" applyBorder="1" applyAlignment="1" applyProtection="1">
      <alignment horizontal="right"/>
    </xf>
    <xf numFmtId="0" fontId="11" fillId="5" borderId="0" xfId="0" applyFont="1" applyFill="1" applyAlignment="1" applyProtection="1">
      <alignment horizontal="right"/>
    </xf>
    <xf numFmtId="0" fontId="11" fillId="5" borderId="0" xfId="0" applyFont="1" applyFill="1" applyProtection="1"/>
    <xf numFmtId="0" fontId="11" fillId="5" borderId="0" xfId="0" applyFont="1" applyFill="1" applyAlignment="1" applyProtection="1">
      <alignment horizontal="left"/>
    </xf>
    <xf numFmtId="4" fontId="8" fillId="5" borderId="0" xfId="0" applyNumberFormat="1" applyFont="1" applyFill="1" applyAlignment="1" applyProtection="1">
      <alignment horizontal="right"/>
    </xf>
    <xf numFmtId="0" fontId="0" fillId="5" borderId="0" xfId="0" applyFill="1" applyAlignment="1" applyProtection="1">
      <alignment horizontal="right"/>
    </xf>
    <xf numFmtId="0" fontId="1" fillId="5" borderId="2" xfId="0" applyFont="1" applyFill="1" applyBorder="1" applyAlignment="1">
      <alignment horizontal="left" wrapText="1"/>
    </xf>
    <xf numFmtId="0" fontId="34" fillId="5" borderId="2" xfId="0" applyFont="1" applyFill="1" applyBorder="1" applyAlignment="1">
      <alignment horizontal="left" wrapText="1"/>
    </xf>
    <xf numFmtId="0" fontId="42" fillId="5" borderId="2" xfId="0" applyFont="1" applyFill="1" applyBorder="1" applyAlignment="1">
      <alignment horizontal="left" wrapText="1"/>
    </xf>
    <xf numFmtId="0" fontId="34" fillId="5" borderId="2" xfId="0" applyFont="1" applyFill="1" applyBorder="1" applyAlignment="1">
      <alignment horizontal="justify" wrapText="1"/>
    </xf>
    <xf numFmtId="3" fontId="34" fillId="5" borderId="0" xfId="0" applyNumberFormat="1" applyFont="1" applyFill="1" applyAlignment="1" applyProtection="1">
      <alignment horizontal="left"/>
    </xf>
    <xf numFmtId="0" fontId="42" fillId="5" borderId="0" xfId="0" applyFont="1" applyFill="1" applyAlignment="1" applyProtection="1">
      <alignment horizontal="right"/>
    </xf>
    <xf numFmtId="0" fontId="42" fillId="5" borderId="0" xfId="0" applyFont="1" applyFill="1" applyProtection="1"/>
    <xf numFmtId="0" fontId="42" fillId="5" borderId="0" xfId="0" applyFont="1" applyFill="1" applyAlignment="1" applyProtection="1">
      <alignment horizontal="left"/>
    </xf>
    <xf numFmtId="4" fontId="43" fillId="5" borderId="0" xfId="0" applyNumberFormat="1" applyFont="1" applyFill="1" applyAlignment="1" applyProtection="1">
      <alignment horizontal="right"/>
    </xf>
    <xf numFmtId="3" fontId="34" fillId="5" borderId="0" xfId="0" applyNumberFormat="1" applyFont="1" applyFill="1" applyAlignment="1" applyProtection="1">
      <alignment horizontal="right"/>
    </xf>
    <xf numFmtId="4" fontId="34" fillId="5" borderId="0" xfId="0" applyNumberFormat="1" applyFont="1" applyFill="1" applyAlignment="1" applyProtection="1">
      <alignment horizontal="right"/>
    </xf>
    <xf numFmtId="4" fontId="34" fillId="5" borderId="0" xfId="0" applyNumberFormat="1" applyFont="1" applyFill="1" applyAlignment="1" applyProtection="1">
      <alignment horizontal="left"/>
    </xf>
    <xf numFmtId="4" fontId="42" fillId="5" borderId="0" xfId="0" applyNumberFormat="1" applyFont="1" applyFill="1" applyAlignment="1" applyProtection="1">
      <alignment horizontal="center"/>
    </xf>
    <xf numFmtId="4" fontId="42" fillId="5" borderId="0" xfId="0" applyNumberFormat="1" applyFont="1" applyFill="1" applyAlignment="1" applyProtection="1">
      <alignment horizontal="right"/>
    </xf>
    <xf numFmtId="4" fontId="42" fillId="5" borderId="0" xfId="0" applyNumberFormat="1" applyFont="1" applyFill="1" applyAlignment="1" applyProtection="1">
      <alignment horizontal="left"/>
    </xf>
    <xf numFmtId="4" fontId="43" fillId="5" borderId="0" xfId="0" applyNumberFormat="1" applyFont="1" applyFill="1" applyAlignment="1" applyProtection="1">
      <alignment horizontal="left"/>
    </xf>
    <xf numFmtId="166" fontId="34" fillId="5" borderId="0" xfId="3" applyNumberFormat="1" applyFont="1" applyFill="1" applyBorder="1" applyAlignment="1" applyProtection="1">
      <alignment horizontal="right"/>
    </xf>
    <xf numFmtId="4" fontId="44" fillId="5" borderId="0" xfId="0" applyNumberFormat="1" applyFont="1" applyFill="1" applyAlignment="1" applyProtection="1">
      <alignment horizontal="left"/>
    </xf>
    <xf numFmtId="3" fontId="34" fillId="5" borderId="0" xfId="3" applyNumberFormat="1" applyFont="1" applyFill="1" applyBorder="1" applyAlignment="1" applyProtection="1">
      <alignment horizontal="right"/>
    </xf>
    <xf numFmtId="3" fontId="43" fillId="5" borderId="0" xfId="0" applyNumberFormat="1" applyFont="1" applyFill="1" applyAlignment="1" applyProtection="1">
      <alignment horizontal="left"/>
    </xf>
    <xf numFmtId="168" fontId="34" fillId="5" borderId="0" xfId="3" applyNumberFormat="1" applyFont="1" applyFill="1" applyBorder="1" applyAlignment="1" applyProtection="1">
      <alignment horizontal="right"/>
    </xf>
    <xf numFmtId="3" fontId="34" fillId="5" borderId="0" xfId="3" applyNumberFormat="1" applyFont="1" applyFill="1" applyAlignment="1" applyProtection="1">
      <alignment horizontal="right"/>
    </xf>
    <xf numFmtId="3" fontId="42" fillId="5" borderId="0" xfId="0" applyNumberFormat="1" applyFont="1" applyFill="1" applyAlignment="1" applyProtection="1">
      <alignment horizontal="left"/>
    </xf>
    <xf numFmtId="167" fontId="42" fillId="6" borderId="3" xfId="0" applyNumberFormat="1" applyFont="1" applyFill="1" applyBorder="1" applyAlignment="1" applyProtection="1">
      <alignment horizontal="right"/>
      <protection locked="0"/>
    </xf>
    <xf numFmtId="3" fontId="34" fillId="6" borderId="2" xfId="0" applyNumberFormat="1" applyFont="1" applyFill="1" applyBorder="1" applyAlignment="1" applyProtection="1">
      <alignment horizontal="right"/>
      <protection locked="0"/>
    </xf>
    <xf numFmtId="3" fontId="42" fillId="5" borderId="0" xfId="0" applyNumberFormat="1" applyFont="1" applyFill="1" applyAlignment="1" applyProtection="1">
      <alignment horizontal="right"/>
    </xf>
    <xf numFmtId="3" fontId="42" fillId="6" borderId="2" xfId="0" applyNumberFormat="1" applyFont="1" applyFill="1" applyBorder="1" applyAlignment="1" applyProtection="1">
      <alignment horizontal="right"/>
      <protection locked="0"/>
    </xf>
    <xf numFmtId="4" fontId="42" fillId="5" borderId="0" xfId="0" applyNumberFormat="1" applyFont="1" applyFill="1" applyAlignment="1" applyProtection="1"/>
    <xf numFmtId="4" fontId="46" fillId="5" borderId="0" xfId="2" applyNumberFormat="1" applyFont="1" applyFill="1" applyAlignment="1" applyProtection="1">
      <alignment horizontal="left"/>
    </xf>
    <xf numFmtId="9" fontId="42" fillId="5" borderId="0" xfId="3" applyFont="1" applyFill="1" applyAlignment="1" applyProtection="1">
      <alignment horizontal="right"/>
    </xf>
    <xf numFmtId="166" fontId="42" fillId="5" borderId="0" xfId="3" applyNumberFormat="1" applyFont="1" applyFill="1" applyAlignment="1" applyProtection="1">
      <alignment horizontal="left"/>
    </xf>
    <xf numFmtId="3" fontId="34" fillId="6" borderId="3" xfId="0" applyNumberFormat="1" applyFont="1" applyFill="1" applyBorder="1" applyAlignment="1" applyProtection="1">
      <alignment horizontal="right"/>
      <protection locked="0"/>
    </xf>
    <xf numFmtId="0" fontId="46" fillId="5" borderId="0" xfId="2" applyFont="1" applyFill="1" applyAlignment="1" applyProtection="1">
      <alignment horizontal="left"/>
    </xf>
    <xf numFmtId="10" fontId="42" fillId="6" borderId="2" xfId="3" applyNumberFormat="1" applyFont="1" applyFill="1" applyBorder="1" applyAlignment="1" applyProtection="1">
      <alignment horizontal="right"/>
      <protection locked="0"/>
    </xf>
    <xf numFmtId="9" fontId="34" fillId="6" borderId="2" xfId="3" applyNumberFormat="1" applyFont="1" applyFill="1" applyBorder="1" applyAlignment="1" applyProtection="1">
      <alignment horizontal="right"/>
      <protection locked="0"/>
    </xf>
    <xf numFmtId="9" fontId="42" fillId="6" borderId="2" xfId="3" applyFont="1" applyFill="1" applyBorder="1" applyAlignment="1" applyProtection="1">
      <alignment horizontal="right"/>
      <protection locked="0"/>
    </xf>
    <xf numFmtId="9" fontId="42" fillId="6" borderId="3" xfId="3" applyNumberFormat="1" applyFont="1" applyFill="1" applyBorder="1" applyAlignment="1" applyProtection="1">
      <alignment horizontal="right"/>
      <protection locked="0"/>
    </xf>
    <xf numFmtId="166" fontId="42" fillId="6" borderId="2" xfId="3" applyNumberFormat="1" applyFont="1" applyFill="1" applyBorder="1" applyAlignment="1" applyProtection="1">
      <alignment horizontal="right"/>
      <protection locked="0"/>
    </xf>
    <xf numFmtId="1" fontId="42" fillId="6" borderId="2" xfId="3" applyNumberFormat="1" applyFont="1" applyFill="1" applyBorder="1" applyAlignment="1" applyProtection="1">
      <alignment horizontal="right"/>
      <protection locked="0"/>
    </xf>
    <xf numFmtId="1" fontId="42" fillId="6" borderId="4" xfId="3" applyNumberFormat="1" applyFont="1" applyFill="1" applyBorder="1" applyAlignment="1" applyProtection="1">
      <alignment horizontal="right"/>
      <protection locked="0"/>
    </xf>
    <xf numFmtId="9" fontId="42" fillId="5" borderId="0" xfId="0" applyNumberFormat="1" applyFont="1" applyFill="1" applyAlignment="1">
      <alignment horizontal="right"/>
    </xf>
    <xf numFmtId="4" fontId="42" fillId="5" borderId="0" xfId="0" applyNumberFormat="1" applyFont="1" applyFill="1" applyBorder="1" applyAlignment="1" applyProtection="1">
      <alignment horizontal="right"/>
      <protection locked="0"/>
    </xf>
    <xf numFmtId="3" fontId="42" fillId="5" borderId="0" xfId="0" applyNumberFormat="1" applyFont="1" applyFill="1" applyBorder="1" applyAlignment="1" applyProtection="1">
      <alignment horizontal="right"/>
    </xf>
    <xf numFmtId="165" fontId="42" fillId="5" borderId="0" xfId="0" applyNumberFormat="1" applyFont="1" applyFill="1"/>
    <xf numFmtId="169" fontId="42" fillId="5" borderId="0" xfId="0" applyNumberFormat="1" applyFont="1" applyFill="1" applyAlignment="1" applyProtection="1">
      <alignment horizontal="right"/>
    </xf>
    <xf numFmtId="3" fontId="42" fillId="5" borderId="3" xfId="0" applyNumberFormat="1" applyFont="1" applyFill="1" applyBorder="1" applyAlignment="1" applyProtection="1">
      <alignment horizontal="right"/>
      <protection locked="0"/>
    </xf>
    <xf numFmtId="9" fontId="42" fillId="5" borderId="2" xfId="3" applyNumberFormat="1" applyFont="1" applyFill="1" applyBorder="1" applyAlignment="1" applyProtection="1">
      <alignment horizontal="right"/>
      <protection locked="0"/>
    </xf>
    <xf numFmtId="169" fontId="43" fillId="5" borderId="0" xfId="0" applyNumberFormat="1" applyFont="1" applyFill="1" applyAlignment="1" applyProtection="1">
      <alignment horizontal="right"/>
    </xf>
    <xf numFmtId="10" fontId="42" fillId="5" borderId="2" xfId="3" applyNumberFormat="1" applyFont="1" applyFill="1" applyBorder="1" applyAlignment="1" applyProtection="1">
      <alignment horizontal="right"/>
      <protection locked="0"/>
    </xf>
    <xf numFmtId="1" fontId="42" fillId="5" borderId="2" xfId="3" applyNumberFormat="1" applyFont="1" applyFill="1" applyBorder="1" applyAlignment="1" applyProtection="1">
      <alignment horizontal="right"/>
      <protection locked="0"/>
    </xf>
    <xf numFmtId="3" fontId="42" fillId="5" borderId="2" xfId="0" applyNumberFormat="1" applyFont="1" applyFill="1" applyBorder="1" applyAlignment="1" applyProtection="1">
      <alignment horizontal="right"/>
      <protection locked="0"/>
    </xf>
    <xf numFmtId="166" fontId="42" fillId="5" borderId="2" xfId="3" applyNumberFormat="1" applyFont="1" applyFill="1" applyBorder="1" applyAlignment="1" applyProtection="1">
      <alignment horizontal="right"/>
      <protection locked="0"/>
    </xf>
    <xf numFmtId="166" fontId="42" fillId="5" borderId="0" xfId="0" applyNumberFormat="1" applyFont="1" applyFill="1" applyAlignment="1">
      <alignment horizontal="right"/>
    </xf>
    <xf numFmtId="4" fontId="34" fillId="5" borderId="0" xfId="0" applyNumberFormat="1" applyFont="1" applyFill="1" applyAlignment="1" applyProtection="1">
      <alignment horizontal="center"/>
    </xf>
    <xf numFmtId="169" fontId="42" fillId="5" borderId="2" xfId="0" applyNumberFormat="1" applyFont="1" applyFill="1" applyBorder="1" applyAlignment="1" applyProtection="1">
      <alignment horizontal="right"/>
      <protection locked="0"/>
    </xf>
    <xf numFmtId="169" fontId="42" fillId="5" borderId="0" xfId="0" applyNumberFormat="1" applyFont="1" applyFill="1" applyAlignment="1" applyProtection="1">
      <alignment horizontal="left"/>
    </xf>
    <xf numFmtId="3" fontId="42" fillId="5" borderId="0" xfId="0" applyNumberFormat="1" applyFont="1" applyFill="1" applyAlignment="1" applyProtection="1"/>
    <xf numFmtId="9" fontId="42" fillId="5" borderId="2" xfId="3" applyFont="1" applyFill="1" applyBorder="1" applyAlignment="1" applyProtection="1">
      <alignment horizontal="right"/>
      <protection locked="0"/>
    </xf>
    <xf numFmtId="169" fontId="42" fillId="5" borderId="2" xfId="1" applyNumberFormat="1" applyFont="1" applyFill="1" applyBorder="1" applyAlignment="1" applyProtection="1">
      <alignment horizontal="right"/>
      <protection locked="0"/>
    </xf>
    <xf numFmtId="169" fontId="42" fillId="5" borderId="0" xfId="0" applyNumberFormat="1" applyFont="1" applyFill="1" applyBorder="1" applyAlignment="1" applyProtection="1">
      <alignment horizontal="left"/>
    </xf>
    <xf numFmtId="167" fontId="42" fillId="5" borderId="0" xfId="0" applyNumberFormat="1" applyFont="1" applyFill="1" applyAlignment="1" applyProtection="1">
      <alignment horizontal="center"/>
    </xf>
    <xf numFmtId="0" fontId="7" fillId="4" borderId="0" xfId="0" applyFont="1" applyFill="1" applyProtection="1"/>
    <xf numFmtId="0" fontId="7" fillId="4" borderId="0" xfId="0" applyFont="1" applyFill="1" applyAlignment="1" applyProtection="1">
      <alignment horizontal="right"/>
    </xf>
    <xf numFmtId="0" fontId="7" fillId="4" borderId="0" xfId="0" applyFont="1" applyFill="1" applyAlignment="1" applyProtection="1">
      <alignment horizontal="left"/>
    </xf>
    <xf numFmtId="4" fontId="2" fillId="4" borderId="0" xfId="0" applyNumberFormat="1" applyFont="1" applyFill="1" applyAlignment="1" applyProtection="1">
      <alignment horizontal="right"/>
    </xf>
    <xf numFmtId="0" fontId="11" fillId="4" borderId="0" xfId="0" applyFont="1" applyFill="1" applyAlignment="1" applyProtection="1">
      <alignment horizontal="right"/>
    </xf>
    <xf numFmtId="0" fontId="11" fillId="4" borderId="0" xfId="0" applyFont="1" applyFill="1" applyProtection="1"/>
    <xf numFmtId="0" fontId="11" fillId="4" borderId="0" xfId="0" applyFont="1" applyFill="1" applyAlignment="1" applyProtection="1">
      <alignment horizontal="left"/>
    </xf>
    <xf numFmtId="4" fontId="8" fillId="4" borderId="0" xfId="0" applyNumberFormat="1" applyFont="1" applyFill="1" applyAlignment="1" applyProtection="1">
      <alignment horizontal="right"/>
    </xf>
    <xf numFmtId="0" fontId="0" fillId="4" borderId="0" xfId="0" applyFill="1" applyAlignment="1" applyProtection="1">
      <alignment horizontal="right"/>
    </xf>
    <xf numFmtId="0" fontId="35" fillId="4" borderId="0" xfId="0" applyFont="1" applyFill="1" applyProtection="1"/>
    <xf numFmtId="0" fontId="35" fillId="4" borderId="0" xfId="0" applyFont="1" applyFill="1"/>
    <xf numFmtId="0" fontId="37" fillId="4" borderId="0" xfId="0" applyFont="1" applyFill="1"/>
    <xf numFmtId="4" fontId="37" fillId="4" borderId="0" xfId="0" applyNumberFormat="1" applyFont="1" applyFill="1" applyAlignment="1">
      <alignment horizontal="right"/>
    </xf>
    <xf numFmtId="4" fontId="37" fillId="4" borderId="0" xfId="0" applyNumberFormat="1" applyFont="1" applyFill="1" applyAlignment="1">
      <alignment horizontal="center"/>
    </xf>
    <xf numFmtId="3" fontId="37" fillId="4" borderId="0" xfId="0" applyNumberFormat="1" applyFont="1" applyFill="1" applyAlignment="1">
      <alignment horizontal="center"/>
    </xf>
    <xf numFmtId="4" fontId="36" fillId="4" borderId="0" xfId="0" applyNumberFormat="1" applyFont="1" applyFill="1" applyAlignment="1">
      <alignment horizontal="center"/>
    </xf>
    <xf numFmtId="0" fontId="47" fillId="4" borderId="0" xfId="0" applyFont="1" applyFill="1"/>
    <xf numFmtId="0" fontId="36" fillId="4" borderId="0" xfId="0" applyFont="1" applyFill="1"/>
    <xf numFmtId="9" fontId="36" fillId="4" borderId="0" xfId="3" applyFont="1" applyFill="1"/>
    <xf numFmtId="4" fontId="36" fillId="4" borderId="0" xfId="0" applyNumberFormat="1" applyFont="1" applyFill="1" applyAlignment="1">
      <alignment horizontal="right"/>
    </xf>
    <xf numFmtId="3" fontId="36" fillId="4" borderId="0" xfId="0" applyNumberFormat="1" applyFont="1" applyFill="1" applyAlignment="1">
      <alignment horizontal="center"/>
    </xf>
    <xf numFmtId="4" fontId="36" fillId="4" borderId="0" xfId="0" applyNumberFormat="1" applyFont="1" applyFill="1" applyBorder="1" applyAlignment="1">
      <alignment horizontal="center"/>
    </xf>
    <xf numFmtId="4" fontId="36" fillId="4" borderId="0" xfId="0" applyNumberFormat="1" applyFont="1" applyFill="1" applyBorder="1" applyAlignment="1">
      <alignment horizontal="right"/>
    </xf>
    <xf numFmtId="2" fontId="36" fillId="4" borderId="0" xfId="0" applyNumberFormat="1" applyFont="1" applyFill="1"/>
    <xf numFmtId="0" fontId="48" fillId="4" borderId="0" xfId="0" applyFont="1" applyFill="1" applyAlignment="1" applyProtection="1">
      <alignment vertical="center" wrapText="1"/>
    </xf>
    <xf numFmtId="165" fontId="42" fillId="0" borderId="0" xfId="0" applyNumberFormat="1" applyFont="1"/>
    <xf numFmtId="165" fontId="50" fillId="0" borderId="0" xfId="0" applyNumberFormat="1" applyFont="1"/>
    <xf numFmtId="1" fontId="16" fillId="2" borderId="0" xfId="0" applyNumberFormat="1" applyFont="1" applyFill="1" applyAlignment="1" applyProtection="1">
      <alignment horizontal="left"/>
    </xf>
    <xf numFmtId="3" fontId="38" fillId="0" borderId="2" xfId="0" applyNumberFormat="1" applyFont="1" applyBorder="1" applyAlignment="1">
      <alignment horizontal="left" wrapText="1"/>
    </xf>
    <xf numFmtId="3" fontId="38" fillId="0" borderId="2" xfId="0" applyNumberFormat="1" applyFont="1" applyBorder="1" applyAlignment="1">
      <alignment horizontal="left"/>
    </xf>
  </cellXfs>
  <cellStyles count="4">
    <cellStyle name="Hipervínculo" xfId="2" builtinId="8"/>
    <cellStyle name="Millares" xfId="1" builtinId="3"/>
    <cellStyle name="Normal" xfId="0" builtinId="0"/>
    <cellStyle name="Porcentaj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52AA6B"/>
      <color rgb="FF006600"/>
      <color rgb="FFF7F0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0686740623349"/>
          <c:y val="5.3435114503816793E-2"/>
          <c:w val="0.82514527205493926"/>
          <c:h val="0.80661577608142498"/>
        </c:manualLayout>
      </c:layout>
      <c:barChart>
        <c:barDir val="col"/>
        <c:grouping val="clustered"/>
        <c:varyColors val="0"/>
        <c:ser>
          <c:idx val="1"/>
          <c:order val="0"/>
          <c:spPr>
            <a:solidFill>
              <a:srgbClr val="52AA6B"/>
            </a:solidFill>
            <a:ln w="25400">
              <a:noFill/>
            </a:ln>
          </c:spPr>
          <c:invertIfNegative val="0"/>
          <c:cat>
            <c:numRef>
              <c:f>calculation!$A$7:$A$28</c:f>
              <c:numCache>
                <c:formatCode>#,##0</c:formatCod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calculation!$AA$7:$AA$28</c:f>
              <c:numCache>
                <c:formatCode>#,##0</c:formatCode>
                <c:ptCount val="22"/>
                <c:pt idx="0">
                  <c:v>0</c:v>
                </c:pt>
                <c:pt idx="1">
                  <c:v>-6594.0958560402441</c:v>
                </c:pt>
                <c:pt idx="2">
                  <c:v>885.36301775915183</c:v>
                </c:pt>
                <c:pt idx="3">
                  <c:v>305.27553590318581</c:v>
                </c:pt>
                <c:pt idx="4">
                  <c:v>28.498353763363852</c:v>
                </c:pt>
                <c:pt idx="5">
                  <c:v>49.2334333464037</c:v>
                </c:pt>
                <c:pt idx="6">
                  <c:v>70.016071507589302</c:v>
                </c:pt>
                <c:pt idx="7">
                  <c:v>90.846566602032254</c:v>
                </c:pt>
                <c:pt idx="8">
                  <c:v>185.35384017972186</c:v>
                </c:pt>
                <c:pt idx="9">
                  <c:v>207.08644724605901</c:v>
                </c:pt>
                <c:pt idx="10">
                  <c:v>228.8766272849721</c:v>
                </c:pt>
                <c:pt idx="11">
                  <c:v>835.99089200005915</c:v>
                </c:pt>
                <c:pt idx="12">
                  <c:v>1136.0346444516485</c:v>
                </c:pt>
                <c:pt idx="13">
                  <c:v>1140.6049568267572</c:v>
                </c:pt>
                <c:pt idx="14">
                  <c:v>1145.2344593195789</c:v>
                </c:pt>
                <c:pt idx="15">
                  <c:v>1149.9235623447066</c:v>
                </c:pt>
                <c:pt idx="16">
                  <c:v>1154.6726787497453</c:v>
                </c:pt>
                <c:pt idx="17">
                  <c:v>1159.4822238050747</c:v>
                </c:pt>
                <c:pt idx="18">
                  <c:v>1164.3526151929718</c:v>
                </c:pt>
                <c:pt idx="19">
                  <c:v>1169.2842729960776</c:v>
                </c:pt>
                <c:pt idx="20">
                  <c:v>1174.2776196851944</c:v>
                </c:pt>
                <c:pt idx="21">
                  <c:v>1179.3330801063939</c:v>
                </c:pt>
              </c:numCache>
            </c:numRef>
          </c:val>
          <c:extLst>
            <c:ext xmlns:c16="http://schemas.microsoft.com/office/drawing/2014/chart" uri="{C3380CC4-5D6E-409C-BE32-E72D297353CC}">
              <c16:uniqueId val="{00000000-E91D-4444-A149-E4078C110379}"/>
            </c:ext>
          </c:extLst>
        </c:ser>
        <c:dLbls>
          <c:showLegendKey val="0"/>
          <c:showVal val="0"/>
          <c:showCatName val="0"/>
          <c:showSerName val="0"/>
          <c:showPercent val="0"/>
          <c:showBubbleSize val="0"/>
        </c:dLbls>
        <c:gapWidth val="150"/>
        <c:axId val="933177344"/>
        <c:axId val="1"/>
      </c:barChart>
      <c:catAx>
        <c:axId val="933177344"/>
        <c:scaling>
          <c:orientation val="minMax"/>
        </c:scaling>
        <c:delete val="0"/>
        <c:axPos val="b"/>
        <c:title>
          <c:tx>
            <c:rich>
              <a:bodyPr/>
              <a:lstStyle/>
              <a:p>
                <a:pPr>
                  <a:defRPr sz="1150" b="0" i="0" u="none" strike="noStrike" baseline="0">
                    <a:solidFill>
                      <a:srgbClr val="52AA6B"/>
                    </a:solidFill>
                    <a:latin typeface="Arial"/>
                    <a:ea typeface="Arial"/>
                    <a:cs typeface="Arial"/>
                  </a:defRPr>
                </a:pPr>
                <a:r>
                  <a:rPr lang="de-AT">
                    <a:solidFill>
                      <a:srgbClr val="52AA6B"/>
                    </a:solidFill>
                  </a:rPr>
                  <a:t>time [years]</a:t>
                </a:r>
              </a:p>
            </c:rich>
          </c:tx>
          <c:layout>
            <c:manualLayout>
              <c:xMode val="edge"/>
              <c:yMode val="edge"/>
              <c:x val="0.50554675092365042"/>
              <c:y val="0.93214587084464273"/>
            </c:manualLayout>
          </c:layout>
          <c:overlay val="0"/>
          <c:spPr>
            <a:noFill/>
            <a:ln w="25400">
              <a:noFill/>
            </a:ln>
          </c:spPr>
        </c:title>
        <c:numFmt formatCode="#,##0" sourceLinked="1"/>
        <c:majorTickMark val="none"/>
        <c:minorTickMark val="none"/>
        <c:tickLblPos val="low"/>
        <c:spPr>
          <a:ln w="3175">
            <a:solidFill>
              <a:srgbClr val="52AA6B"/>
            </a:solidFill>
            <a:prstDash val="solid"/>
          </a:ln>
        </c:spPr>
        <c:txPr>
          <a:bodyPr rot="0" vert="horz"/>
          <a:lstStyle/>
          <a:p>
            <a:pPr>
              <a:defRPr sz="950" b="0" i="0" u="none" strike="noStrike" baseline="0">
                <a:solidFill>
                  <a:srgbClr val="52AA6B"/>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52AA6B"/>
              </a:solidFill>
              <a:prstDash val="solid"/>
            </a:ln>
          </c:spPr>
        </c:majorGridlines>
        <c:title>
          <c:tx>
            <c:rich>
              <a:bodyPr/>
              <a:lstStyle/>
              <a:p>
                <a:pPr>
                  <a:defRPr sz="1150" b="0" i="0" u="none" strike="noStrike" baseline="0">
                    <a:solidFill>
                      <a:srgbClr val="52AA6B"/>
                    </a:solidFill>
                    <a:latin typeface="Arial"/>
                    <a:ea typeface="Arial"/>
                    <a:cs typeface="Arial"/>
                  </a:defRPr>
                </a:pPr>
                <a:r>
                  <a:rPr lang="de-AT">
                    <a:solidFill>
                      <a:srgbClr val="52AA6B"/>
                    </a:solidFill>
                  </a:rPr>
                  <a:t>annual result [Euro]</a:t>
                </a:r>
              </a:p>
            </c:rich>
          </c:tx>
          <c:layout>
            <c:manualLayout>
              <c:xMode val="edge"/>
              <c:yMode val="edge"/>
              <c:x val="1.7432669642409349E-2"/>
              <c:y val="0.25445298433258984"/>
            </c:manualLayout>
          </c:layout>
          <c:overlay val="0"/>
          <c:spPr>
            <a:noFill/>
            <a:ln w="25400">
              <a:noFill/>
            </a:ln>
          </c:spPr>
        </c:title>
        <c:numFmt formatCode="#,##0" sourceLinked="0"/>
        <c:majorTickMark val="out"/>
        <c:minorTickMark val="none"/>
        <c:tickLblPos val="nextTo"/>
        <c:spPr>
          <a:ln w="3175">
            <a:solidFill>
              <a:srgbClr val="52AA6B"/>
            </a:solidFill>
            <a:prstDash val="solid"/>
          </a:ln>
        </c:spPr>
        <c:txPr>
          <a:bodyPr rot="0" vert="horz"/>
          <a:lstStyle/>
          <a:p>
            <a:pPr>
              <a:defRPr sz="950" b="0" i="0" u="none" strike="noStrike" baseline="0">
                <a:solidFill>
                  <a:srgbClr val="52AA6B"/>
                </a:solidFill>
                <a:latin typeface="Arial"/>
                <a:ea typeface="Arial"/>
                <a:cs typeface="Arial"/>
              </a:defRPr>
            </a:pPr>
            <a:endParaRPr lang="es-ES"/>
          </a:p>
        </c:txPr>
        <c:crossAx val="933177344"/>
        <c:crosses val="autoZero"/>
        <c:crossBetween val="between"/>
      </c:valAx>
      <c:spPr>
        <a:solidFill>
          <a:srgbClr val="F7F0DF"/>
        </a:solidFill>
        <a:ln w="3175">
          <a:solidFill>
            <a:srgbClr val="52AA6B"/>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44162704701533"/>
          <c:y val="5.3435114503816793E-2"/>
          <c:w val="0.83571051241415739"/>
          <c:h val="0.80336199663021657"/>
        </c:manualLayout>
      </c:layout>
      <c:barChart>
        <c:barDir val="col"/>
        <c:grouping val="clustered"/>
        <c:varyColors val="0"/>
        <c:ser>
          <c:idx val="1"/>
          <c:order val="0"/>
          <c:spPr>
            <a:solidFill>
              <a:srgbClr val="52AA6B"/>
            </a:solidFill>
            <a:ln w="25400">
              <a:noFill/>
            </a:ln>
          </c:spPr>
          <c:invertIfNegative val="0"/>
          <c:cat>
            <c:numRef>
              <c:f>calculation!$A$7:$A$28</c:f>
              <c:numCache>
                <c:formatCode>#,##0</c:formatCod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calculation!$AC$7:$AC$28</c:f>
              <c:numCache>
                <c:formatCode>#,##0</c:formatCode>
                <c:ptCount val="22"/>
                <c:pt idx="0">
                  <c:v>0</c:v>
                </c:pt>
                <c:pt idx="1">
                  <c:v>-6594.0958560402441</c:v>
                </c:pt>
                <c:pt idx="2">
                  <c:v>-5726.0928974528406</c:v>
                </c:pt>
                <c:pt idx="3">
                  <c:v>-5432.6715826670024</c:v>
                </c:pt>
                <c:pt idx="4">
                  <c:v>-5405.8169474179622</c:v>
                </c:pt>
                <c:pt idx="5">
                  <c:v>-5360.3328652133059</c:v>
                </c:pt>
                <c:pt idx="6">
                  <c:v>-5296.9171520656273</c:v>
                </c:pt>
                <c:pt idx="7">
                  <c:v>-5216.2480007531503</c:v>
                </c:pt>
                <c:pt idx="8">
                  <c:v>-5054.8863285395164</c:v>
                </c:pt>
                <c:pt idx="9">
                  <c:v>-4878.1400398110363</c:v>
                </c:pt>
                <c:pt idx="10">
                  <c:v>-4686.6263166951621</c:v>
                </c:pt>
                <c:pt idx="11">
                  <c:v>-4000.8226097317993</c:v>
                </c:pt>
                <c:pt idx="12">
                  <c:v>-3087.1519340698514</c:v>
                </c:pt>
                <c:pt idx="13">
                  <c:v>-2187.7927095773434</c:v>
                </c:pt>
                <c:pt idx="14">
                  <c:v>-1302.4892236808373</c:v>
                </c:pt>
                <c:pt idx="15">
                  <c:v>-430.99087559418933</c:v>
                </c:pt>
                <c:pt idx="16">
                  <c:v>426.94793303217295</c:v>
                </c:pt>
                <c:pt idx="17">
                  <c:v>1271.5679050390509</c:v>
                </c:pt>
                <c:pt idx="18">
                  <c:v>2103.1049523180127</c:v>
                </c:pt>
                <c:pt idx="19">
                  <c:v>2921.7902980560793</c:v>
                </c:pt>
                <c:pt idx="20">
                  <c:v>3727.8505767177517</c:v>
                </c:pt>
                <c:pt idx="21">
                  <c:v>4521.5079318153839</c:v>
                </c:pt>
              </c:numCache>
            </c:numRef>
          </c:val>
          <c:extLst>
            <c:ext xmlns:c16="http://schemas.microsoft.com/office/drawing/2014/chart" uri="{C3380CC4-5D6E-409C-BE32-E72D297353CC}">
              <c16:uniqueId val="{00000000-FEF5-4441-8572-1E1263B4E893}"/>
            </c:ext>
          </c:extLst>
        </c:ser>
        <c:dLbls>
          <c:showLegendKey val="0"/>
          <c:showVal val="0"/>
          <c:showCatName val="0"/>
          <c:showSerName val="0"/>
          <c:showPercent val="0"/>
          <c:showBubbleSize val="0"/>
        </c:dLbls>
        <c:gapWidth val="150"/>
        <c:axId val="933174016"/>
        <c:axId val="1"/>
      </c:barChart>
      <c:catAx>
        <c:axId val="933174016"/>
        <c:scaling>
          <c:orientation val="minMax"/>
        </c:scaling>
        <c:delete val="0"/>
        <c:axPos val="b"/>
        <c:title>
          <c:tx>
            <c:rich>
              <a:bodyPr/>
              <a:lstStyle/>
              <a:p>
                <a:pPr>
                  <a:defRPr sz="1150" b="0" i="0" u="none" strike="noStrike" baseline="0">
                    <a:solidFill>
                      <a:srgbClr val="52AA6B"/>
                    </a:solidFill>
                    <a:latin typeface="Arial"/>
                    <a:ea typeface="Arial"/>
                    <a:cs typeface="Arial"/>
                  </a:defRPr>
                </a:pPr>
                <a:r>
                  <a:rPr lang="de-AT">
                    <a:solidFill>
                      <a:srgbClr val="52AA6B"/>
                    </a:solidFill>
                  </a:rPr>
                  <a:t>time [years]</a:t>
                </a:r>
              </a:p>
            </c:rich>
          </c:tx>
          <c:layout>
            <c:manualLayout>
              <c:xMode val="edge"/>
              <c:yMode val="edge"/>
              <c:x val="0.51191634485179793"/>
              <c:y val="0.92544758270403915"/>
            </c:manualLayout>
          </c:layout>
          <c:overlay val="0"/>
          <c:spPr>
            <a:noFill/>
            <a:ln w="25400">
              <a:noFill/>
            </a:ln>
          </c:spPr>
        </c:title>
        <c:numFmt formatCode="#,##0" sourceLinked="1"/>
        <c:majorTickMark val="none"/>
        <c:minorTickMark val="none"/>
        <c:tickLblPos val="low"/>
        <c:spPr>
          <a:ln w="3175">
            <a:solidFill>
              <a:srgbClr val="52AA6B"/>
            </a:solidFill>
            <a:prstDash val="solid"/>
          </a:ln>
        </c:spPr>
        <c:txPr>
          <a:bodyPr rot="0" vert="horz"/>
          <a:lstStyle/>
          <a:p>
            <a:pPr>
              <a:defRPr sz="950" b="0" i="0" u="none" strike="noStrike" baseline="0">
                <a:solidFill>
                  <a:srgbClr val="52AA6B"/>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52AA6B"/>
              </a:solidFill>
              <a:prstDash val="solid"/>
            </a:ln>
          </c:spPr>
        </c:majorGridlines>
        <c:title>
          <c:tx>
            <c:rich>
              <a:bodyPr/>
              <a:lstStyle/>
              <a:p>
                <a:pPr>
                  <a:defRPr sz="1150" b="0" i="0" u="none" strike="noStrike" baseline="0">
                    <a:solidFill>
                      <a:srgbClr val="52AA6B"/>
                    </a:solidFill>
                    <a:latin typeface="Arial"/>
                    <a:ea typeface="Arial"/>
                    <a:cs typeface="Arial"/>
                  </a:defRPr>
                </a:pPr>
                <a:r>
                  <a:rPr lang="de-AT">
                    <a:solidFill>
                      <a:srgbClr val="52AA6B"/>
                    </a:solidFill>
                  </a:rPr>
                  <a:t>net</a:t>
                </a:r>
                <a:r>
                  <a:rPr lang="de-AT" baseline="0">
                    <a:solidFill>
                      <a:srgbClr val="52AA6B"/>
                    </a:solidFill>
                  </a:rPr>
                  <a:t> present value</a:t>
                </a:r>
                <a:r>
                  <a:rPr lang="de-AT">
                    <a:solidFill>
                      <a:srgbClr val="52AA6B"/>
                    </a:solidFill>
                  </a:rPr>
                  <a:t> [Euro]</a:t>
                </a:r>
              </a:p>
            </c:rich>
          </c:tx>
          <c:layout>
            <c:manualLayout>
              <c:xMode val="edge"/>
              <c:yMode val="edge"/>
              <c:x val="1.7432669642409349E-2"/>
              <c:y val="0.29007632151783075"/>
            </c:manualLayout>
          </c:layout>
          <c:overlay val="0"/>
          <c:spPr>
            <a:noFill/>
            <a:ln w="25400">
              <a:noFill/>
            </a:ln>
          </c:spPr>
        </c:title>
        <c:numFmt formatCode="#,##0" sourceLinked="0"/>
        <c:majorTickMark val="out"/>
        <c:minorTickMark val="none"/>
        <c:tickLblPos val="nextTo"/>
        <c:spPr>
          <a:ln w="3175">
            <a:solidFill>
              <a:srgbClr val="52AA6B"/>
            </a:solidFill>
            <a:prstDash val="solid"/>
          </a:ln>
        </c:spPr>
        <c:txPr>
          <a:bodyPr rot="0" vert="horz"/>
          <a:lstStyle/>
          <a:p>
            <a:pPr>
              <a:defRPr sz="950" b="0" i="0" u="none" strike="noStrike" baseline="0">
                <a:solidFill>
                  <a:srgbClr val="52AA6B"/>
                </a:solidFill>
                <a:latin typeface="Arial"/>
                <a:ea typeface="Arial"/>
                <a:cs typeface="Arial"/>
              </a:defRPr>
            </a:pPr>
            <a:endParaRPr lang="es-ES"/>
          </a:p>
        </c:txPr>
        <c:crossAx val="933174016"/>
        <c:crosses val="autoZero"/>
        <c:crossBetween val="between"/>
      </c:valAx>
      <c:spPr>
        <a:noFill/>
        <a:ln w="3175">
          <a:solidFill>
            <a:srgbClr val="52AA6B"/>
          </a:solidFill>
          <a:prstDash val="solid"/>
        </a:ln>
      </c:spPr>
    </c:plotArea>
    <c:plotVisOnly val="1"/>
    <c:dispBlanksAs val="gap"/>
    <c:showDLblsOverMax val="0"/>
  </c:chart>
  <c:spPr>
    <a:solidFill>
      <a:srgbClr val="F7F0DF"/>
    </a:solidFill>
    <a:ln w="9525">
      <a:noFill/>
    </a:ln>
  </c:spPr>
  <c:txPr>
    <a:bodyPr/>
    <a:lstStyle/>
    <a:p>
      <a:pPr>
        <a:defRPr sz="800" b="0" i="0" u="none" strike="noStrike" baseline="0">
          <a:solidFill>
            <a:srgbClr val="000000"/>
          </a:solidFill>
          <a:latin typeface="Arial"/>
          <a:ea typeface="Arial"/>
          <a:cs typeface="Arial"/>
        </a:defRPr>
      </a:pPr>
      <a:endParaRPr lang="es-E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m4">
    <tabColor rgb="FF52AA6B"/>
  </sheetPr>
  <sheetViews>
    <sheetView workbookViewId="0"/>
  </sheetViews>
  <customSheetViews>
    <customSheetView guid="{36051EDE-EE05-46A8-9481-5CD2E0A132E3}" scale="75">
      <pageMargins left="0.78740157480314965" right="0.78740157480314965" top="0.78740157480314965" bottom="6.6929133858267722" header="0.51181102362204722" footer="0.51181102362204722"/>
      <pageSetup paperSize="9" orientation="portrait"/>
      <headerFooter alignWithMargins="0">
        <oddHeader>&amp;F</oddHeader>
        <oddFooter>&amp;A</oddFooter>
      </headerFooter>
    </customSheetView>
  </customSheetViews>
  <pageMargins left="0.78740157480314965" right="0.78740157480314965" top="0.78740157480314965" bottom="6.6929133858267722" header="0.51181102362204722" footer="0.51181102362204722"/>
  <pageSetup paperSize="9" orientation="portrait" r:id="rId1"/>
  <headerFooter alignWithMargins="0">
    <oddHeader>&amp;F</oddHeader>
    <oddFooter>&amp;A</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Diagramm5">
    <tabColor rgb="FF52AA6B"/>
  </sheetPr>
  <sheetViews>
    <sheetView workbookViewId="0"/>
  </sheetViews>
  <pageMargins left="0.78740157480314965" right="0.78740157480314965" top="0.78740157480314965" bottom="6.6929133858267722" header="0.51181102362204722" footer="0.51181102362204722"/>
  <pageSetup paperSize="9" orientation="portrait" r:id="rId1"/>
  <headerFooter alignWithMargins="0">
    <oddHeader>&amp;F</oddHeader>
    <oddFooter>&amp;A</oddFooter>
  </headerFooter>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3369235</xdr:colOff>
      <xdr:row>2</xdr:row>
      <xdr:rowOff>82177</xdr:rowOff>
    </xdr:from>
    <xdr:to>
      <xdr:col>0</xdr:col>
      <xdr:colOff>5961529</xdr:colOff>
      <xdr:row>3</xdr:row>
      <xdr:rowOff>52528</xdr:rowOff>
    </xdr:to>
    <xdr:grpSp>
      <xdr:nvGrpSpPr>
        <xdr:cNvPr id="2" name="Google Shape;15;p9">
          <a:extLst>
            <a:ext uri="{FF2B5EF4-FFF2-40B4-BE49-F238E27FC236}">
              <a16:creationId xmlns:a16="http://schemas.microsoft.com/office/drawing/2014/main" id="{2F51F353-4C7B-8BE2-EFD5-C98E17164127}"/>
            </a:ext>
          </a:extLst>
        </xdr:cNvPr>
        <xdr:cNvGrpSpPr/>
      </xdr:nvGrpSpPr>
      <xdr:grpSpPr>
        <a:xfrm>
          <a:off x="3369235" y="760833"/>
          <a:ext cx="2344644" cy="589476"/>
          <a:chOff x="8834285" y="109464"/>
          <a:chExt cx="3910726" cy="821998"/>
        </a:xfrm>
      </xdr:grpSpPr>
      <xdr:sp macro="" textlink="">
        <xdr:nvSpPr>
          <xdr:cNvPr id="3" name="Google Shape;16;p9">
            <a:extLst>
              <a:ext uri="{FF2B5EF4-FFF2-40B4-BE49-F238E27FC236}">
                <a16:creationId xmlns:a16="http://schemas.microsoft.com/office/drawing/2014/main" id="{C71C7C16-6F53-2399-9914-CC4BBE841772}"/>
              </a:ext>
            </a:extLst>
          </xdr:cNvPr>
          <xdr:cNvSpPr/>
        </xdr:nvSpPr>
        <xdr:spPr>
          <a:xfrm>
            <a:off x="8834285" y="109464"/>
            <a:ext cx="3910726" cy="821998"/>
          </a:xfrm>
          <a:prstGeom prst="roundRect">
            <a:avLst>
              <a:gd name="adj" fmla="val 31020"/>
            </a:avLst>
          </a:prstGeom>
          <a:solidFill>
            <a:schemeClr val="lt1"/>
          </a:solidFill>
          <a:ln>
            <a:noFill/>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spcBef>
                <a:spcPts val="0"/>
              </a:spcBef>
              <a:spcAft>
                <a:spcPts val="0"/>
              </a:spcAft>
              <a:buNone/>
            </a:pPr>
            <a:endParaRPr sz="1800" b="0" i="0" u="none" strike="noStrike" cap="none">
              <a:solidFill>
                <a:schemeClr val="lt1"/>
              </a:solidFill>
              <a:latin typeface="Arial"/>
              <a:ea typeface="Arial"/>
              <a:cs typeface="Arial"/>
              <a:sym typeface="Arial"/>
            </a:endParaRPr>
          </a:p>
        </xdr:txBody>
      </xdr:sp>
      <xdr:grpSp>
        <xdr:nvGrpSpPr>
          <xdr:cNvPr id="4" name="Google Shape;17;p9">
            <a:extLst>
              <a:ext uri="{FF2B5EF4-FFF2-40B4-BE49-F238E27FC236}">
                <a16:creationId xmlns:a16="http://schemas.microsoft.com/office/drawing/2014/main" id="{5226A749-FF36-3BC2-8541-0A137DDF59C6}"/>
              </a:ext>
            </a:extLst>
          </xdr:cNvPr>
          <xdr:cNvGrpSpPr/>
        </xdr:nvGrpSpPr>
        <xdr:grpSpPr>
          <a:xfrm>
            <a:off x="9105307" y="287871"/>
            <a:ext cx="2918889" cy="465185"/>
            <a:chOff x="8723342" y="359515"/>
            <a:chExt cx="2918889" cy="465185"/>
          </a:xfrm>
        </xdr:grpSpPr>
        <xdr:pic>
          <xdr:nvPicPr>
            <xdr:cNvPr id="5" name="Google Shape;18;p9">
              <a:extLst>
                <a:ext uri="{FF2B5EF4-FFF2-40B4-BE49-F238E27FC236}">
                  <a16:creationId xmlns:a16="http://schemas.microsoft.com/office/drawing/2014/main" id="{1FD50D0F-45B8-C2CF-4E8B-2C8AF41637DA}"/>
                </a:ext>
              </a:extLst>
            </xdr:cNvPr>
            <xdr:cNvPicPr preferRelativeResize="0"/>
          </xdr:nvPicPr>
          <xdr:blipFill rotWithShape="1">
            <a:blip xmlns:r="http://schemas.openxmlformats.org/officeDocument/2006/relationships" r:embed="rId1">
              <a:alphaModFix/>
            </a:blip>
            <a:srcRect/>
            <a:stretch/>
          </xdr:blipFill>
          <xdr:spPr>
            <a:xfrm>
              <a:off x="8723342" y="359515"/>
              <a:ext cx="1628560" cy="465185"/>
            </a:xfrm>
            <a:prstGeom prst="rect">
              <a:avLst/>
            </a:prstGeom>
            <a:noFill/>
            <a:ln>
              <a:noFill/>
            </a:ln>
          </xdr:spPr>
        </xdr:pic>
        <xdr:pic>
          <xdr:nvPicPr>
            <xdr:cNvPr id="6" name="Google Shape;19;p9">
              <a:extLst>
                <a:ext uri="{FF2B5EF4-FFF2-40B4-BE49-F238E27FC236}">
                  <a16:creationId xmlns:a16="http://schemas.microsoft.com/office/drawing/2014/main" id="{3D612ABC-6F61-98A5-E092-1C3EBE7545C4}"/>
                </a:ext>
              </a:extLst>
            </xdr:cNvPr>
            <xdr:cNvPicPr preferRelativeResize="0"/>
          </xdr:nvPicPr>
          <xdr:blipFill rotWithShape="1">
            <a:blip xmlns:r="http://schemas.openxmlformats.org/officeDocument/2006/relationships" r:embed="rId2">
              <a:alphaModFix/>
            </a:blip>
            <a:srcRect l="2988" t="6233" r="3060" b="6699"/>
            <a:stretch/>
          </xdr:blipFill>
          <xdr:spPr>
            <a:xfrm>
              <a:off x="10351902" y="359515"/>
              <a:ext cx="1290329" cy="465185"/>
            </a:xfrm>
            <a:prstGeom prst="rect">
              <a:avLst/>
            </a:prstGeom>
            <a:noFill/>
            <a:ln>
              <a:noFill/>
            </a:ln>
          </xdr:spPr>
        </xdr:pic>
      </xdr:grpSp>
    </xdr:grpSp>
    <xdr:clientData/>
  </xdr:twoCellAnchor>
  <xdr:twoCellAnchor editAs="oneCell">
    <xdr:from>
      <xdr:col>0</xdr:col>
      <xdr:colOff>1064507</xdr:colOff>
      <xdr:row>3</xdr:row>
      <xdr:rowOff>121449</xdr:rowOff>
    </xdr:from>
    <xdr:to>
      <xdr:col>0</xdr:col>
      <xdr:colOff>2274742</xdr:colOff>
      <xdr:row>4</xdr:row>
      <xdr:rowOff>4819</xdr:rowOff>
    </xdr:to>
    <xdr:pic>
      <xdr:nvPicPr>
        <xdr:cNvPr id="8" name="Grafik 7">
          <a:extLst>
            <a:ext uri="{FF2B5EF4-FFF2-40B4-BE49-F238E27FC236}">
              <a16:creationId xmlns:a16="http://schemas.microsoft.com/office/drawing/2014/main" id="{F8FF9BCF-5745-CFBB-4C9C-4A63BD8049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4507" y="1418663"/>
          <a:ext cx="1210235" cy="50022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359833</xdr:colOff>
      <xdr:row>3</xdr:row>
      <xdr:rowOff>95249</xdr:rowOff>
    </xdr:from>
    <xdr:to>
      <xdr:col>7</xdr:col>
      <xdr:colOff>1047127</xdr:colOff>
      <xdr:row>6</xdr:row>
      <xdr:rowOff>106688</xdr:rowOff>
    </xdr:to>
    <xdr:grpSp>
      <xdr:nvGrpSpPr>
        <xdr:cNvPr id="2" name="Google Shape;15;p9">
          <a:extLst>
            <a:ext uri="{FF2B5EF4-FFF2-40B4-BE49-F238E27FC236}">
              <a16:creationId xmlns:a16="http://schemas.microsoft.com/office/drawing/2014/main" id="{4035E144-5803-4FAB-94E4-07AABFEE4B9F}"/>
            </a:ext>
          </a:extLst>
        </xdr:cNvPr>
        <xdr:cNvGrpSpPr/>
      </xdr:nvGrpSpPr>
      <xdr:grpSpPr>
        <a:xfrm>
          <a:off x="5203976" y="721178"/>
          <a:ext cx="2510651" cy="582939"/>
          <a:chOff x="8834285" y="109464"/>
          <a:chExt cx="3910726" cy="821998"/>
        </a:xfrm>
      </xdr:grpSpPr>
      <xdr:sp macro="" textlink="">
        <xdr:nvSpPr>
          <xdr:cNvPr id="3" name="Google Shape;16;p9">
            <a:extLst>
              <a:ext uri="{FF2B5EF4-FFF2-40B4-BE49-F238E27FC236}">
                <a16:creationId xmlns:a16="http://schemas.microsoft.com/office/drawing/2014/main" id="{F9F408FD-596A-02BB-2170-F8275FEDB407}"/>
              </a:ext>
            </a:extLst>
          </xdr:cNvPr>
          <xdr:cNvSpPr/>
        </xdr:nvSpPr>
        <xdr:spPr>
          <a:xfrm>
            <a:off x="8834285" y="109464"/>
            <a:ext cx="3910726" cy="821998"/>
          </a:xfrm>
          <a:prstGeom prst="roundRect">
            <a:avLst>
              <a:gd name="adj" fmla="val 31020"/>
            </a:avLst>
          </a:prstGeom>
          <a:solidFill>
            <a:schemeClr val="lt1"/>
          </a:solidFill>
          <a:ln>
            <a:noFill/>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spcBef>
                <a:spcPts val="0"/>
              </a:spcBef>
              <a:spcAft>
                <a:spcPts val="0"/>
              </a:spcAft>
              <a:buNone/>
            </a:pPr>
            <a:endParaRPr sz="1800" b="0" i="0" u="none" strike="noStrike" cap="none">
              <a:solidFill>
                <a:schemeClr val="lt1"/>
              </a:solidFill>
              <a:latin typeface="Arial"/>
              <a:ea typeface="Arial"/>
              <a:cs typeface="Arial"/>
              <a:sym typeface="Arial"/>
            </a:endParaRPr>
          </a:p>
        </xdr:txBody>
      </xdr:sp>
      <xdr:grpSp>
        <xdr:nvGrpSpPr>
          <xdr:cNvPr id="4" name="Google Shape;17;p9">
            <a:extLst>
              <a:ext uri="{FF2B5EF4-FFF2-40B4-BE49-F238E27FC236}">
                <a16:creationId xmlns:a16="http://schemas.microsoft.com/office/drawing/2014/main" id="{A9CD00BC-DAE1-06D0-93B0-08E0474FF64A}"/>
              </a:ext>
            </a:extLst>
          </xdr:cNvPr>
          <xdr:cNvGrpSpPr/>
        </xdr:nvGrpSpPr>
        <xdr:grpSpPr>
          <a:xfrm>
            <a:off x="9105307" y="287871"/>
            <a:ext cx="2918889" cy="465185"/>
            <a:chOff x="8723342" y="359515"/>
            <a:chExt cx="2918889" cy="465185"/>
          </a:xfrm>
        </xdr:grpSpPr>
        <xdr:pic>
          <xdr:nvPicPr>
            <xdr:cNvPr id="5" name="Google Shape;18;p9">
              <a:extLst>
                <a:ext uri="{FF2B5EF4-FFF2-40B4-BE49-F238E27FC236}">
                  <a16:creationId xmlns:a16="http://schemas.microsoft.com/office/drawing/2014/main" id="{0A3DF647-81AC-1D99-5E19-7F7C586BA464}"/>
                </a:ext>
              </a:extLst>
            </xdr:cNvPr>
            <xdr:cNvPicPr preferRelativeResize="0"/>
          </xdr:nvPicPr>
          <xdr:blipFill rotWithShape="1">
            <a:blip xmlns:r="http://schemas.openxmlformats.org/officeDocument/2006/relationships" r:embed="rId1">
              <a:alphaModFix/>
            </a:blip>
            <a:srcRect/>
            <a:stretch/>
          </xdr:blipFill>
          <xdr:spPr>
            <a:xfrm>
              <a:off x="8723342" y="359515"/>
              <a:ext cx="1628560" cy="465185"/>
            </a:xfrm>
            <a:prstGeom prst="rect">
              <a:avLst/>
            </a:prstGeom>
            <a:noFill/>
            <a:ln>
              <a:noFill/>
            </a:ln>
          </xdr:spPr>
        </xdr:pic>
        <xdr:pic>
          <xdr:nvPicPr>
            <xdr:cNvPr id="6" name="Google Shape;19;p9">
              <a:extLst>
                <a:ext uri="{FF2B5EF4-FFF2-40B4-BE49-F238E27FC236}">
                  <a16:creationId xmlns:a16="http://schemas.microsoft.com/office/drawing/2014/main" id="{A4BD4756-44B1-6E69-44D9-A873ADA96A1E}"/>
                </a:ext>
              </a:extLst>
            </xdr:cNvPr>
            <xdr:cNvPicPr preferRelativeResize="0"/>
          </xdr:nvPicPr>
          <xdr:blipFill rotWithShape="1">
            <a:blip xmlns:r="http://schemas.openxmlformats.org/officeDocument/2006/relationships" r:embed="rId2">
              <a:alphaModFix/>
            </a:blip>
            <a:srcRect l="2988" t="6233" r="3060" b="6699"/>
            <a:stretch/>
          </xdr:blipFill>
          <xdr:spPr>
            <a:xfrm>
              <a:off x="10351902" y="359515"/>
              <a:ext cx="1290329" cy="465185"/>
            </a:xfrm>
            <a:prstGeom prst="rect">
              <a:avLst/>
            </a:prstGeom>
            <a:noFill/>
            <a:ln>
              <a:noFill/>
            </a:ln>
          </xdr:spPr>
        </xdr:pic>
      </xdr:grpSp>
    </xdr:grpSp>
    <xdr:clientData/>
  </xdr:twoCellAnchor>
  <xdr:twoCellAnchor editAs="oneCell">
    <xdr:from>
      <xdr:col>3</xdr:col>
      <xdr:colOff>519337</xdr:colOff>
      <xdr:row>7</xdr:row>
      <xdr:rowOff>117928</xdr:rowOff>
    </xdr:from>
    <xdr:to>
      <xdr:col>6</xdr:col>
      <xdr:colOff>226785</xdr:colOff>
      <xdr:row>15</xdr:row>
      <xdr:rowOff>179539</xdr:rowOff>
    </xdr:to>
    <xdr:pic>
      <xdr:nvPicPr>
        <xdr:cNvPr id="8" name="Grafik 7">
          <a:extLst>
            <a:ext uri="{FF2B5EF4-FFF2-40B4-BE49-F238E27FC236}">
              <a16:creationId xmlns:a16="http://schemas.microsoft.com/office/drawing/2014/main" id="{6D64AFE1-6B67-4320-9E1E-60CA4140588A}"/>
            </a:ext>
          </a:extLst>
        </xdr:cNvPr>
        <xdr:cNvPicPr>
          <a:picLocks noChangeAspect="1"/>
        </xdr:cNvPicPr>
      </xdr:nvPicPr>
      <xdr:blipFill>
        <a:blip xmlns:r="http://schemas.openxmlformats.org/officeDocument/2006/relationships" r:embed="rId3"/>
        <a:stretch>
          <a:fillRect/>
        </a:stretch>
      </xdr:blipFill>
      <xdr:spPr>
        <a:xfrm>
          <a:off x="4928051" y="1496785"/>
          <a:ext cx="1603377" cy="1585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28</xdr:col>
      <xdr:colOff>425450</xdr:colOff>
      <xdr:row>0</xdr:row>
      <xdr:rowOff>63500</xdr:rowOff>
    </xdr:from>
    <xdr:to>
      <xdr:col>31</xdr:col>
      <xdr:colOff>826994</xdr:colOff>
      <xdr:row>3</xdr:row>
      <xdr:rowOff>100339</xdr:rowOff>
    </xdr:to>
    <xdr:grpSp>
      <xdr:nvGrpSpPr>
        <xdr:cNvPr id="2" name="Google Shape;15;p9">
          <a:extLst>
            <a:ext uri="{FF2B5EF4-FFF2-40B4-BE49-F238E27FC236}">
              <a16:creationId xmlns:a16="http://schemas.microsoft.com/office/drawing/2014/main" id="{A171715D-5644-4504-8FDE-B51BE934C69D}"/>
            </a:ext>
          </a:extLst>
        </xdr:cNvPr>
        <xdr:cNvGrpSpPr/>
      </xdr:nvGrpSpPr>
      <xdr:grpSpPr>
        <a:xfrm>
          <a:off x="20885150" y="63500"/>
          <a:ext cx="2487519" cy="579764"/>
          <a:chOff x="8834285" y="109464"/>
          <a:chExt cx="3910726" cy="821998"/>
        </a:xfrm>
      </xdr:grpSpPr>
      <xdr:sp macro="" textlink="">
        <xdr:nvSpPr>
          <xdr:cNvPr id="3" name="Google Shape;16;p9">
            <a:extLst>
              <a:ext uri="{FF2B5EF4-FFF2-40B4-BE49-F238E27FC236}">
                <a16:creationId xmlns:a16="http://schemas.microsoft.com/office/drawing/2014/main" id="{077CC9C6-3817-FD22-3199-B90A200348DD}"/>
              </a:ext>
            </a:extLst>
          </xdr:cNvPr>
          <xdr:cNvSpPr/>
        </xdr:nvSpPr>
        <xdr:spPr>
          <a:xfrm>
            <a:off x="8834285" y="109464"/>
            <a:ext cx="3910726" cy="821998"/>
          </a:xfrm>
          <a:prstGeom prst="roundRect">
            <a:avLst>
              <a:gd name="adj" fmla="val 31020"/>
            </a:avLst>
          </a:prstGeom>
          <a:solidFill>
            <a:schemeClr val="lt1"/>
          </a:solidFill>
          <a:ln>
            <a:noFill/>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spcBef>
                <a:spcPts val="0"/>
              </a:spcBef>
              <a:spcAft>
                <a:spcPts val="0"/>
              </a:spcAft>
              <a:buNone/>
            </a:pPr>
            <a:endParaRPr sz="1800" b="0" i="0" u="none" strike="noStrike" cap="none">
              <a:solidFill>
                <a:schemeClr val="lt1"/>
              </a:solidFill>
              <a:latin typeface="Arial"/>
              <a:ea typeface="Arial"/>
              <a:cs typeface="Arial"/>
              <a:sym typeface="Arial"/>
            </a:endParaRPr>
          </a:p>
        </xdr:txBody>
      </xdr:sp>
      <xdr:grpSp>
        <xdr:nvGrpSpPr>
          <xdr:cNvPr id="4" name="Google Shape;17;p9">
            <a:extLst>
              <a:ext uri="{FF2B5EF4-FFF2-40B4-BE49-F238E27FC236}">
                <a16:creationId xmlns:a16="http://schemas.microsoft.com/office/drawing/2014/main" id="{7D147CB0-2E05-84D9-44F2-FB5A9B56BA7E}"/>
              </a:ext>
            </a:extLst>
          </xdr:cNvPr>
          <xdr:cNvGrpSpPr/>
        </xdr:nvGrpSpPr>
        <xdr:grpSpPr>
          <a:xfrm>
            <a:off x="9105307" y="287871"/>
            <a:ext cx="2918889" cy="465185"/>
            <a:chOff x="8723342" y="359515"/>
            <a:chExt cx="2918889" cy="465185"/>
          </a:xfrm>
        </xdr:grpSpPr>
        <xdr:pic>
          <xdr:nvPicPr>
            <xdr:cNvPr id="5" name="Google Shape;18;p9">
              <a:extLst>
                <a:ext uri="{FF2B5EF4-FFF2-40B4-BE49-F238E27FC236}">
                  <a16:creationId xmlns:a16="http://schemas.microsoft.com/office/drawing/2014/main" id="{EC6C78D2-5967-7B75-3911-C429EC4E3CB8}"/>
                </a:ext>
              </a:extLst>
            </xdr:cNvPr>
            <xdr:cNvPicPr preferRelativeResize="0"/>
          </xdr:nvPicPr>
          <xdr:blipFill rotWithShape="1">
            <a:blip xmlns:r="http://schemas.openxmlformats.org/officeDocument/2006/relationships" r:embed="rId1">
              <a:alphaModFix/>
            </a:blip>
            <a:srcRect/>
            <a:stretch/>
          </xdr:blipFill>
          <xdr:spPr>
            <a:xfrm>
              <a:off x="8723342" y="359515"/>
              <a:ext cx="1628560" cy="465185"/>
            </a:xfrm>
            <a:prstGeom prst="rect">
              <a:avLst/>
            </a:prstGeom>
            <a:noFill/>
            <a:ln>
              <a:noFill/>
            </a:ln>
          </xdr:spPr>
        </xdr:pic>
        <xdr:pic>
          <xdr:nvPicPr>
            <xdr:cNvPr id="6" name="Google Shape;19;p9">
              <a:extLst>
                <a:ext uri="{FF2B5EF4-FFF2-40B4-BE49-F238E27FC236}">
                  <a16:creationId xmlns:a16="http://schemas.microsoft.com/office/drawing/2014/main" id="{947E147A-F257-4CD7-1AB3-6585F47915B2}"/>
                </a:ext>
              </a:extLst>
            </xdr:cNvPr>
            <xdr:cNvPicPr preferRelativeResize="0"/>
          </xdr:nvPicPr>
          <xdr:blipFill rotWithShape="1">
            <a:blip xmlns:r="http://schemas.openxmlformats.org/officeDocument/2006/relationships" r:embed="rId2">
              <a:alphaModFix/>
            </a:blip>
            <a:srcRect l="2988" t="6233" r="3060" b="6699"/>
            <a:stretch/>
          </xdr:blipFill>
          <xdr:spPr>
            <a:xfrm>
              <a:off x="10351902" y="359515"/>
              <a:ext cx="1290329" cy="465185"/>
            </a:xfrm>
            <a:prstGeom prst="rect">
              <a:avLst/>
            </a:prstGeom>
            <a:noFill/>
            <a:ln>
              <a:noFill/>
            </a:ln>
          </xdr:spPr>
        </xdr:pic>
      </xdr:grpSp>
    </xdr:grpSp>
    <xdr:clientData/>
  </xdr:twoCellAnchor>
</xdr:wsDr>
</file>

<file path=xl/drawings/drawing4.xml><?xml version="1.0" encoding="utf-8"?>
<xdr:wsDr xmlns:xdr="http://schemas.openxmlformats.org/drawingml/2006/spreadsheetDrawing" xmlns:a="http://schemas.openxmlformats.org/drawingml/2006/main">
  <xdr:absoluteAnchor>
    <xdr:pos x="0" y="0"/>
    <xdr:ext cx="6010275" cy="3743325"/>
    <xdr:graphicFrame macro="">
      <xdr:nvGraphicFramePr>
        <xdr:cNvPr id="2" name="Diagramm 1">
          <a:extLst>
            <a:ext uri="{FF2B5EF4-FFF2-40B4-BE49-F238E27FC236}">
              <a16:creationId xmlns:a16="http://schemas.microsoft.com/office/drawing/2014/main" id="{C086AAA2-61E8-4F2B-B060-D61388DCD2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0.85775</cdr:x>
      <cdr:y>0.77986</cdr:y>
    </cdr:from>
    <cdr:to>
      <cdr:x>0.97452</cdr:x>
      <cdr:y>0.84471</cdr:y>
    </cdr:to>
    <cdr:pic>
      <cdr:nvPicPr>
        <cdr:cNvPr id="3" name="Google Shape;19;p9">
          <a:extLst xmlns:a="http://schemas.openxmlformats.org/drawingml/2006/main">
            <a:ext uri="{FF2B5EF4-FFF2-40B4-BE49-F238E27FC236}">
              <a16:creationId xmlns:a16="http://schemas.microsoft.com/office/drawing/2014/main" id="{947E147A-F257-4CD7-1AB3-6585F47915B2}"/>
            </a:ext>
          </a:extLst>
        </cdr:cNvPr>
        <cdr:cNvPicPr preferRelativeResize="0"/>
      </cdr:nvPicPr>
      <cdr:blipFill rotWithShape="1">
        <a:blip xmlns:a="http://schemas.openxmlformats.org/drawingml/2006/main" xmlns:r="http://schemas.openxmlformats.org/officeDocument/2006/relationships" r:embed="rId1">
          <a:alphaModFix/>
        </a:blip>
        <a:srcRect xmlns:a="http://schemas.openxmlformats.org/drawingml/2006/main" l="2988" t="6233" r="3060" b="6699"/>
        <a:stretch xmlns:a="http://schemas.openxmlformats.org/drawingml/2006/main"/>
      </cdr:blipFill>
      <cdr:spPr>
        <a:xfrm xmlns:a="http://schemas.openxmlformats.org/drawingml/2006/main">
          <a:off x="5130801" y="2901951"/>
          <a:ext cx="698500" cy="241300"/>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0.62951</cdr:x>
      <cdr:y>0.70819</cdr:y>
    </cdr:from>
    <cdr:to>
      <cdr:x>0.99257</cdr:x>
      <cdr:y>0.77474</cdr:y>
    </cdr:to>
    <cdr:sp macro="" textlink="">
      <cdr:nvSpPr>
        <cdr:cNvPr id="4" name="Textfeld 3">
          <a:extLst xmlns:a="http://schemas.openxmlformats.org/drawingml/2006/main">
            <a:ext uri="{FF2B5EF4-FFF2-40B4-BE49-F238E27FC236}">
              <a16:creationId xmlns:a16="http://schemas.microsoft.com/office/drawing/2014/main" id="{2BFFFF5F-6BDA-D908-1DB5-7DB3C300C13A}"/>
            </a:ext>
          </a:extLst>
        </cdr:cNvPr>
        <cdr:cNvSpPr txBox="1"/>
      </cdr:nvSpPr>
      <cdr:spPr>
        <a:xfrm xmlns:a="http://schemas.openxmlformats.org/drawingml/2006/main">
          <a:off x="3765550" y="2635250"/>
          <a:ext cx="21717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AT" sz="800">
              <a:solidFill>
                <a:srgbClr val="52AA6B"/>
              </a:solidFill>
              <a:latin typeface="Arial" panose="020B0604020202020204" pitchFamily="34" charset="0"/>
              <a:cs typeface="Arial" panose="020B0604020202020204" pitchFamily="34" charset="0"/>
            </a:rPr>
            <a:t>estimating economic efficiency of PV plants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010275" cy="3743325"/>
    <xdr:graphicFrame macro="">
      <xdr:nvGraphicFramePr>
        <xdr:cNvPr id="2" name="Diagramm 1">
          <a:extLst>
            <a:ext uri="{FF2B5EF4-FFF2-40B4-BE49-F238E27FC236}">
              <a16:creationId xmlns:a16="http://schemas.microsoft.com/office/drawing/2014/main" id="{84718627-D5AE-4D66-8519-58E423D716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0.83333</cdr:x>
      <cdr:y>0.75768</cdr:y>
    </cdr:from>
    <cdr:to>
      <cdr:x>0.97632</cdr:x>
      <cdr:y>0.84633</cdr:y>
    </cdr:to>
    <cdr:pic>
      <cdr:nvPicPr>
        <cdr:cNvPr id="2" name="Google Shape;19;p9">
          <a:extLst xmlns:a="http://schemas.openxmlformats.org/drawingml/2006/main">
            <a:ext uri="{FF2B5EF4-FFF2-40B4-BE49-F238E27FC236}">
              <a16:creationId xmlns:a16="http://schemas.microsoft.com/office/drawing/2014/main" id="{947E147A-F257-4CD7-1AB3-6585F47915B2}"/>
            </a:ext>
          </a:extLst>
        </cdr:cNvPr>
        <cdr:cNvPicPr preferRelativeResize="0"/>
      </cdr:nvPicPr>
      <cdr:blipFill rotWithShape="1">
        <a:blip xmlns:a="http://schemas.openxmlformats.org/drawingml/2006/main" xmlns:r="http://schemas.openxmlformats.org/officeDocument/2006/relationships" r:embed="rId1">
          <a:alphaModFix/>
        </a:blip>
        <a:srcRect xmlns:a="http://schemas.openxmlformats.org/drawingml/2006/main" l="2988" t="6233" r="3060" b="6699"/>
        <a:stretch xmlns:a="http://schemas.openxmlformats.org/drawingml/2006/main"/>
      </cdr:blipFill>
      <cdr:spPr>
        <a:xfrm xmlns:a="http://schemas.openxmlformats.org/drawingml/2006/main">
          <a:off x="4984750" y="2819400"/>
          <a:ext cx="855317" cy="329897"/>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0.1327</cdr:x>
      <cdr:y>0.05802</cdr:y>
    </cdr:from>
    <cdr:to>
      <cdr:x>0.49575</cdr:x>
      <cdr:y>0.12457</cdr:y>
    </cdr:to>
    <cdr:sp macro="" textlink="">
      <cdr:nvSpPr>
        <cdr:cNvPr id="3" name="Textfeld 1">
          <a:extLst xmlns:a="http://schemas.openxmlformats.org/drawingml/2006/main">
            <a:ext uri="{FF2B5EF4-FFF2-40B4-BE49-F238E27FC236}">
              <a16:creationId xmlns:a16="http://schemas.microsoft.com/office/drawing/2014/main" id="{3AD7BD03-524C-3D76-762E-80230AFF6B70}"/>
            </a:ext>
          </a:extLst>
        </cdr:cNvPr>
        <cdr:cNvSpPr txBox="1"/>
      </cdr:nvSpPr>
      <cdr:spPr>
        <a:xfrm xmlns:a="http://schemas.openxmlformats.org/drawingml/2006/main">
          <a:off x="793750" y="215900"/>
          <a:ext cx="217170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800">
              <a:solidFill>
                <a:srgbClr val="52AA6B"/>
              </a:solidFill>
              <a:latin typeface="Arial" panose="020B0604020202020204" pitchFamily="34" charset="0"/>
              <a:cs typeface="Arial" panose="020B0604020202020204" pitchFamily="34" charset="0"/>
            </a:rPr>
            <a:t>estimating economic efficiency of PV plants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re.jrc.ec.europa.eu/pvgis/apps4/pvest.ph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7F0DF"/>
  </sheetPr>
  <dimension ref="A1:N47"/>
  <sheetViews>
    <sheetView showGridLines="0" tabSelected="1" zoomScale="80" zoomScaleNormal="80" zoomScaleSheetLayoutView="85" workbookViewId="0">
      <selection activeCell="E3" sqref="E3"/>
    </sheetView>
  </sheetViews>
  <sheetFormatPr baseColWidth="10" defaultColWidth="11.42578125" defaultRowHeight="12.75" x14ac:dyDescent="0.2"/>
  <cols>
    <col min="1" max="1" width="85.7109375" style="1" customWidth="1"/>
  </cols>
  <sheetData>
    <row r="1" spans="1:14" s="10" customFormat="1" ht="38.450000000000003" customHeight="1" x14ac:dyDescent="0.25">
      <c r="A1" s="202" t="s">
        <v>155</v>
      </c>
    </row>
    <row r="2" spans="1:14" ht="15" customHeight="1" x14ac:dyDescent="0.2">
      <c r="A2" s="83" t="s">
        <v>26</v>
      </c>
    </row>
    <row r="3" spans="1:14" s="13" customFormat="1" ht="48.75" customHeight="1" x14ac:dyDescent="0.2">
      <c r="A3" s="84" t="s">
        <v>138</v>
      </c>
      <c r="B3" s="11"/>
      <c r="C3"/>
      <c r="D3" s="11"/>
      <c r="E3" s="11"/>
      <c r="F3" s="11"/>
      <c r="G3" s="12"/>
      <c r="H3" s="12"/>
      <c r="I3" s="12"/>
      <c r="J3" s="12"/>
      <c r="K3" s="12"/>
      <c r="L3" s="12"/>
      <c r="M3" s="12"/>
      <c r="N3" s="12"/>
    </row>
    <row r="4" spans="1:14" s="13" customFormat="1" ht="48.75" customHeight="1" x14ac:dyDescent="0.2">
      <c r="A4" s="85" t="s">
        <v>137</v>
      </c>
      <c r="B4" s="11"/>
      <c r="C4" s="11"/>
      <c r="D4" s="11"/>
      <c r="E4" s="11"/>
      <c r="F4" s="11"/>
      <c r="G4" s="12"/>
      <c r="H4" s="12"/>
      <c r="I4" s="12"/>
      <c r="J4" s="12"/>
      <c r="K4" s="12"/>
      <c r="L4" s="12"/>
      <c r="M4" s="12"/>
      <c r="N4" s="12"/>
    </row>
    <row r="5" spans="1:14" x14ac:dyDescent="0.2">
      <c r="A5" s="86"/>
    </row>
    <row r="6" spans="1:14" s="16" customFormat="1" ht="12.95" customHeight="1" x14ac:dyDescent="0.2">
      <c r="A6" s="117"/>
    </row>
    <row r="7" spans="1:14" s="15" customFormat="1" ht="136.5" customHeight="1" x14ac:dyDescent="0.2">
      <c r="A7" s="118" t="s">
        <v>139</v>
      </c>
    </row>
    <row r="8" spans="1:14" ht="52.5" customHeight="1" x14ac:dyDescent="0.2">
      <c r="A8" s="119" t="s">
        <v>140</v>
      </c>
    </row>
    <row r="9" spans="1:14" ht="32.25" customHeight="1" x14ac:dyDescent="0.2">
      <c r="A9" s="119" t="s">
        <v>141</v>
      </c>
    </row>
    <row r="10" spans="1:14" ht="31.5" customHeight="1" x14ac:dyDescent="0.2">
      <c r="A10" s="119" t="s">
        <v>142</v>
      </c>
    </row>
    <row r="11" spans="1:14" ht="66.599999999999994" customHeight="1" x14ac:dyDescent="0.2">
      <c r="A11" s="118" t="s">
        <v>143</v>
      </c>
    </row>
    <row r="12" spans="1:14" s="6" customFormat="1" ht="42" customHeight="1" x14ac:dyDescent="0.2">
      <c r="A12" s="119" t="s">
        <v>135</v>
      </c>
    </row>
    <row r="13" spans="1:14" ht="29.1" customHeight="1" x14ac:dyDescent="0.2">
      <c r="A13" s="120" t="s">
        <v>136</v>
      </c>
    </row>
    <row r="14" spans="1:14" ht="62.25" customHeight="1" x14ac:dyDescent="0.2">
      <c r="A14" s="27"/>
    </row>
    <row r="15" spans="1:14" ht="30" customHeight="1" x14ac:dyDescent="0.2">
      <c r="A15" s="18"/>
    </row>
    <row r="16" spans="1:14" ht="28.5" customHeight="1" x14ac:dyDescent="0.2">
      <c r="A16" s="18"/>
    </row>
    <row r="17" spans="1:1" ht="27.75" customHeight="1" x14ac:dyDescent="0.2">
      <c r="A17" s="18"/>
    </row>
    <row r="18" spans="1:1" s="15" customFormat="1" ht="13.5" customHeight="1" x14ac:dyDescent="0.2">
      <c r="A18" s="14"/>
    </row>
    <row r="19" spans="1:1" x14ac:dyDescent="0.2">
      <c r="A19" s="17"/>
    </row>
    <row r="20" spans="1:1" x14ac:dyDescent="0.2">
      <c r="A20" s="17"/>
    </row>
    <row r="21" spans="1:1" x14ac:dyDescent="0.2">
      <c r="A21" s="17"/>
    </row>
    <row r="22" spans="1:1" x14ac:dyDescent="0.2">
      <c r="A22" s="17"/>
    </row>
    <row r="23" spans="1:1" x14ac:dyDescent="0.2">
      <c r="A23" s="17"/>
    </row>
    <row r="24" spans="1:1" x14ac:dyDescent="0.2">
      <c r="A24" s="17"/>
    </row>
    <row r="25" spans="1:1" x14ac:dyDescent="0.2">
      <c r="A25" s="17"/>
    </row>
    <row r="26" spans="1:1" x14ac:dyDescent="0.2">
      <c r="A26" s="17"/>
    </row>
    <row r="27" spans="1:1" x14ac:dyDescent="0.2">
      <c r="A27" s="17"/>
    </row>
    <row r="28" spans="1:1" x14ac:dyDescent="0.2">
      <c r="A28" s="17"/>
    </row>
    <row r="29" spans="1:1" x14ac:dyDescent="0.2">
      <c r="A29" s="17"/>
    </row>
    <row r="30" spans="1:1" x14ac:dyDescent="0.2">
      <c r="A30" s="17"/>
    </row>
    <row r="31" spans="1:1" x14ac:dyDescent="0.2">
      <c r="A31" s="17"/>
    </row>
    <row r="32" spans="1:1" x14ac:dyDescent="0.2">
      <c r="A32" s="17"/>
    </row>
    <row r="33" spans="1:1" x14ac:dyDescent="0.2">
      <c r="A33" s="17"/>
    </row>
    <row r="34" spans="1:1" x14ac:dyDescent="0.2">
      <c r="A34" s="17"/>
    </row>
    <row r="35" spans="1:1" x14ac:dyDescent="0.2">
      <c r="A35" s="17"/>
    </row>
    <row r="36" spans="1:1" x14ac:dyDescent="0.2">
      <c r="A36" s="17"/>
    </row>
    <row r="37" spans="1:1" x14ac:dyDescent="0.2">
      <c r="A37" s="17"/>
    </row>
    <row r="38" spans="1:1" x14ac:dyDescent="0.2">
      <c r="A38" s="17"/>
    </row>
    <row r="39" spans="1:1" x14ac:dyDescent="0.2">
      <c r="A39" s="17"/>
    </row>
    <row r="40" spans="1:1" x14ac:dyDescent="0.2">
      <c r="A40" s="17"/>
    </row>
    <row r="41" spans="1:1" x14ac:dyDescent="0.2">
      <c r="A41" s="17"/>
    </row>
    <row r="42" spans="1:1" x14ac:dyDescent="0.2">
      <c r="A42" s="17"/>
    </row>
    <row r="43" spans="1:1" x14ac:dyDescent="0.2">
      <c r="A43" s="17"/>
    </row>
    <row r="44" spans="1:1" x14ac:dyDescent="0.2">
      <c r="A44" s="17"/>
    </row>
    <row r="45" spans="1:1" x14ac:dyDescent="0.2">
      <c r="A45" s="17"/>
    </row>
    <row r="46" spans="1:1" x14ac:dyDescent="0.2">
      <c r="A46" s="17"/>
    </row>
    <row r="47" spans="1:1" x14ac:dyDescent="0.2">
      <c r="A47" s="17"/>
    </row>
  </sheetData>
  <customSheetViews>
    <customSheetView guid="{36051EDE-EE05-46A8-9481-5CD2E0A132E3}" showRuler="0" topLeftCell="A7">
      <selection activeCell="C7" sqref="C7"/>
      <pageMargins left="0.78740157499999996" right="0.78740157499999996" top="0.984251969" bottom="0.984251969" header="0.4921259845" footer="0.4921259845"/>
      <pageSetup paperSize="9" orientation="portrait" verticalDpi="300"/>
      <headerFooter alignWithMargins="0">
        <oddHeader>&amp;F</oddHeader>
        <oddFooter>&amp;A</oddFooter>
      </headerFooter>
    </customSheetView>
  </customSheetViews>
  <phoneticPr fontId="0" type="noConversion"/>
  <pageMargins left="0.78740157499999996" right="0.78740157499999996" top="0.984251969" bottom="0.984251969" header="0.4921259845" footer="0.4921259845"/>
  <pageSetup paperSize="9" orientation="portrait" verticalDpi="300" r:id="rId1"/>
  <headerFooter alignWithMargins="0">
    <oddHeader>&amp;F</oddHeader>
    <oddFooter>&amp;A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7F0DF"/>
    <pageSetUpPr fitToPage="1"/>
  </sheetPr>
  <dimension ref="A1:K92"/>
  <sheetViews>
    <sheetView showGridLines="0" topLeftCell="A3" zoomScale="70" zoomScaleNormal="70" workbookViewId="0">
      <selection activeCell="A23" sqref="A23"/>
    </sheetView>
  </sheetViews>
  <sheetFormatPr baseColWidth="10" defaultColWidth="8.7109375" defaultRowHeight="15" customHeight="1" x14ac:dyDescent="0.2"/>
  <cols>
    <col min="1" max="1" width="44.42578125" style="40" customWidth="1"/>
    <col min="2" max="2" width="10" style="24" customWidth="1"/>
    <col min="3" max="3" width="8.7109375" style="24" customWidth="1"/>
    <col min="4" max="4" width="9.28515625" style="24" customWidth="1"/>
    <col min="5" max="5" width="9.5703125" style="41" customWidth="1"/>
    <col min="6" max="6" width="8.28515625" style="24" customWidth="1"/>
    <col min="7" max="7" width="9.42578125" style="24" customWidth="1"/>
    <col min="8" max="8" width="16.42578125" style="24" customWidth="1"/>
    <col min="9" max="9" width="8.42578125" style="24" hidden="1" customWidth="1"/>
    <col min="10" max="10" width="1.5703125" style="24" customWidth="1"/>
    <col min="11" max="11" width="15.7109375" style="59" customWidth="1"/>
    <col min="12" max="16384" width="8.7109375" style="25"/>
  </cols>
  <sheetData>
    <row r="1" spans="1:11" s="29" customFormat="1" ht="18.75" customHeight="1" x14ac:dyDescent="0.25">
      <c r="A1" s="187" t="s">
        <v>154</v>
      </c>
      <c r="B1" s="179"/>
      <c r="C1" s="178"/>
      <c r="D1" s="179"/>
      <c r="E1" s="180"/>
      <c r="F1" s="178"/>
      <c r="G1" s="181"/>
      <c r="H1" s="181"/>
      <c r="I1" s="28"/>
      <c r="J1" s="46"/>
      <c r="K1" s="60"/>
    </row>
    <row r="2" spans="1:11" s="31" customFormat="1" ht="15" customHeight="1" x14ac:dyDescent="0.25">
      <c r="A2" s="86" t="s">
        <v>79</v>
      </c>
      <c r="B2" s="182"/>
      <c r="C2" s="183"/>
      <c r="D2" s="182"/>
      <c r="E2" s="184"/>
      <c r="F2" s="183"/>
      <c r="G2" s="185"/>
      <c r="H2" s="185"/>
      <c r="I2" s="30"/>
      <c r="J2" s="46"/>
      <c r="K2" s="60"/>
    </row>
    <row r="3" spans="1:11" s="31" customFormat="1" ht="15" customHeight="1" x14ac:dyDescent="0.25">
      <c r="A3" s="186"/>
      <c r="B3" s="182"/>
      <c r="C3" s="183"/>
      <c r="D3" s="182"/>
      <c r="E3" s="184"/>
      <c r="F3" s="183"/>
      <c r="G3" s="185"/>
      <c r="H3" s="185"/>
      <c r="I3" s="30"/>
      <c r="J3" s="46"/>
      <c r="K3" s="60"/>
    </row>
    <row r="4" spans="1:11" s="31" customFormat="1" ht="15" customHeight="1" x14ac:dyDescent="0.25">
      <c r="A4" s="116"/>
      <c r="B4" s="112"/>
      <c r="C4" s="113"/>
      <c r="D4" s="112"/>
      <c r="E4" s="114"/>
      <c r="F4" s="113"/>
      <c r="G4" s="115"/>
      <c r="H4" s="115"/>
      <c r="I4" s="30"/>
      <c r="J4" s="46"/>
      <c r="K4" s="60"/>
    </row>
    <row r="5" spans="1:11" ht="15" customHeight="1" x14ac:dyDescent="0.25">
      <c r="A5" s="121" t="s">
        <v>80</v>
      </c>
      <c r="B5" s="122"/>
      <c r="C5" s="123"/>
      <c r="D5" s="122"/>
      <c r="E5" s="124"/>
      <c r="F5" s="123"/>
      <c r="G5" s="125"/>
      <c r="H5" s="125"/>
      <c r="J5" s="46"/>
      <c r="K5" s="60"/>
    </row>
    <row r="6" spans="1:11" s="34" customFormat="1" ht="15" customHeight="1" x14ac:dyDescent="0.25">
      <c r="A6" s="121" t="s">
        <v>40</v>
      </c>
      <c r="B6" s="126"/>
      <c r="C6" s="121"/>
      <c r="D6" s="126"/>
      <c r="E6" s="121"/>
      <c r="F6" s="121"/>
      <c r="G6" s="121"/>
      <c r="H6" s="121"/>
      <c r="J6" s="46"/>
      <c r="K6" s="64"/>
    </row>
    <row r="7" spans="1:11" s="34" customFormat="1" ht="15" customHeight="1" x14ac:dyDescent="0.25">
      <c r="A7" s="121" t="s">
        <v>41</v>
      </c>
      <c r="B7" s="126"/>
      <c r="C7" s="121"/>
      <c r="D7" s="126"/>
      <c r="E7" s="121"/>
      <c r="F7" s="121"/>
      <c r="G7" s="121"/>
      <c r="H7" s="121"/>
      <c r="J7" s="46"/>
    </row>
    <row r="8" spans="1:11" s="78" customFormat="1" ht="15" customHeight="1" x14ac:dyDescent="0.25">
      <c r="A8" s="121" t="s">
        <v>42</v>
      </c>
      <c r="B8" s="127"/>
      <c r="C8" s="127"/>
      <c r="D8" s="127"/>
      <c r="E8" s="128"/>
      <c r="F8" s="127"/>
      <c r="G8" s="127"/>
      <c r="H8" s="127"/>
      <c r="J8" s="46"/>
      <c r="K8" s="64"/>
    </row>
    <row r="9" spans="1:11" s="35" customFormat="1" ht="15" customHeight="1" x14ac:dyDescent="0.25">
      <c r="A9" s="129"/>
      <c r="B9" s="130"/>
      <c r="C9" s="130"/>
      <c r="D9" s="130"/>
      <c r="E9" s="131"/>
      <c r="F9" s="130"/>
      <c r="G9" s="130"/>
      <c r="H9" s="130"/>
      <c r="J9" s="46"/>
      <c r="K9" s="65"/>
    </row>
    <row r="10" spans="1:11" ht="15" customHeight="1" x14ac:dyDescent="0.25">
      <c r="A10" s="121" t="s">
        <v>81</v>
      </c>
      <c r="B10" s="130"/>
      <c r="C10" s="129"/>
      <c r="D10" s="125"/>
      <c r="E10" s="132"/>
      <c r="F10" s="125"/>
      <c r="G10" s="125"/>
      <c r="H10" s="125"/>
      <c r="J10" s="46"/>
      <c r="K10" s="60"/>
    </row>
    <row r="11" spans="1:11" ht="15" customHeight="1" x14ac:dyDescent="0.25">
      <c r="A11" s="128" t="s">
        <v>82</v>
      </c>
      <c r="B11" s="133">
        <f>calculation!AA30</f>
        <v>6.3942968042416615E-2</v>
      </c>
      <c r="C11" s="134" t="s">
        <v>0</v>
      </c>
      <c r="D11" s="125"/>
      <c r="E11" s="132"/>
      <c r="F11" s="125"/>
      <c r="G11" s="125"/>
      <c r="H11" s="125"/>
      <c r="J11" s="46"/>
    </row>
    <row r="12" spans="1:11" ht="15" customHeight="1" x14ac:dyDescent="0.25">
      <c r="A12" s="128" t="s">
        <v>83</v>
      </c>
      <c r="B12" s="135">
        <f>IF(calculation!AC28&lt;0,"&gt;20",calculation!AF29)</f>
        <v>15</v>
      </c>
      <c r="C12" s="128" t="s">
        <v>57</v>
      </c>
      <c r="D12" s="125"/>
      <c r="E12" s="136"/>
      <c r="F12" s="125"/>
      <c r="G12" s="125"/>
      <c r="H12" s="125"/>
      <c r="J12" s="46"/>
      <c r="K12" s="61"/>
    </row>
    <row r="13" spans="1:11" ht="15" customHeight="1" x14ac:dyDescent="0.25">
      <c r="A13" s="128" t="s">
        <v>84</v>
      </c>
      <c r="B13" s="137">
        <f>calculation!AE31</f>
        <v>0.11809440060117746</v>
      </c>
      <c r="C13" s="134" t="s">
        <v>11</v>
      </c>
      <c r="D13" s="125"/>
      <c r="E13" s="132"/>
      <c r="F13" s="125"/>
      <c r="G13" s="125"/>
      <c r="H13" s="125"/>
      <c r="J13" s="46"/>
    </row>
    <row r="14" spans="1:11" ht="15" customHeight="1" x14ac:dyDescent="0.25">
      <c r="A14" s="128" t="s">
        <v>85</v>
      </c>
      <c r="B14" s="135">
        <f>calculation!AB29</f>
        <v>4521.5079318153839</v>
      </c>
      <c r="C14" s="128" t="s">
        <v>3</v>
      </c>
      <c r="D14" s="125"/>
      <c r="E14" s="132"/>
      <c r="F14" s="125"/>
      <c r="G14" s="125"/>
      <c r="H14" s="125"/>
      <c r="J14" s="46"/>
    </row>
    <row r="15" spans="1:11" ht="15" customHeight="1" x14ac:dyDescent="0.25">
      <c r="A15" s="128" t="s">
        <v>86</v>
      </c>
      <c r="B15" s="135">
        <f>(AnlagenpreisPV+BatteriespeicherJN*ZusatzkostenBatterie)*1.19-Zuschuss_PV_Anlage-BatteriespeicherJN*ZuschussBatterie-Kredit1*Auszahlung1-Kredit2</f>
        <v>9660</v>
      </c>
      <c r="C15" s="128" t="s">
        <v>3</v>
      </c>
      <c r="D15" s="125"/>
      <c r="E15" s="136"/>
      <c r="F15" s="125"/>
      <c r="G15" s="125"/>
      <c r="H15" s="125"/>
      <c r="J15" s="46"/>
      <c r="K15" s="61"/>
    </row>
    <row r="16" spans="1:11" ht="15" customHeight="1" x14ac:dyDescent="0.25">
      <c r="A16" s="136"/>
      <c r="B16" s="125"/>
      <c r="C16" s="125"/>
      <c r="D16" s="125"/>
      <c r="E16" s="136"/>
      <c r="F16" s="125"/>
      <c r="G16" s="125"/>
      <c r="H16" s="125"/>
      <c r="J16" s="46"/>
      <c r="K16" s="61"/>
    </row>
    <row r="17" spans="1:11" ht="15" customHeight="1" x14ac:dyDescent="0.25">
      <c r="A17" s="128" t="s">
        <v>43</v>
      </c>
      <c r="B17" s="138"/>
      <c r="C17" s="128"/>
      <c r="D17" s="125"/>
      <c r="E17" s="136"/>
      <c r="F17" s="125"/>
      <c r="G17" s="125"/>
      <c r="H17" s="125"/>
      <c r="J17" s="46"/>
      <c r="K17" s="61"/>
    </row>
    <row r="18" spans="1:11" s="26" customFormat="1" ht="15" customHeight="1" x14ac:dyDescent="0.25">
      <c r="A18" s="139" t="s">
        <v>144</v>
      </c>
      <c r="B18" s="140">
        <v>10</v>
      </c>
      <c r="C18" s="131" t="s">
        <v>1</v>
      </c>
      <c r="D18" s="127"/>
      <c r="E18" s="128"/>
      <c r="F18" s="129"/>
      <c r="G18" s="129"/>
      <c r="H18" s="129"/>
      <c r="I18" s="39"/>
      <c r="J18" s="46"/>
      <c r="K18" s="59"/>
    </row>
    <row r="19" spans="1:11" s="26" customFormat="1" ht="15" customHeight="1" x14ac:dyDescent="0.25">
      <c r="A19" s="139" t="s">
        <v>145</v>
      </c>
      <c r="B19" s="141">
        <f>Anlagenleistung*1400</f>
        <v>14000</v>
      </c>
      <c r="C19" s="128" t="s">
        <v>44</v>
      </c>
      <c r="D19" s="142">
        <f>AnlagenpreisPV/kWp</f>
        <v>1400</v>
      </c>
      <c r="E19" s="131" t="s">
        <v>2</v>
      </c>
      <c r="F19" s="131"/>
      <c r="G19" s="129"/>
      <c r="H19" s="131"/>
      <c r="J19" s="46"/>
      <c r="K19" s="59"/>
    </row>
    <row r="20" spans="1:11" s="26" customFormat="1" ht="15" customHeight="1" x14ac:dyDescent="0.25">
      <c r="A20" s="139" t="s">
        <v>146</v>
      </c>
      <c r="B20" s="143">
        <v>0</v>
      </c>
      <c r="C20" s="131" t="s">
        <v>3</v>
      </c>
      <c r="D20" s="142"/>
      <c r="E20" s="131"/>
      <c r="F20" s="131"/>
      <c r="G20" s="129"/>
      <c r="H20" s="131"/>
      <c r="J20" s="46"/>
      <c r="K20" s="59"/>
    </row>
    <row r="21" spans="1:11" s="26" customFormat="1" ht="15" customHeight="1" x14ac:dyDescent="0.25">
      <c r="A21" s="139" t="s">
        <v>87</v>
      </c>
      <c r="B21" s="143">
        <v>0</v>
      </c>
      <c r="C21" s="131"/>
      <c r="D21" s="130"/>
      <c r="E21" s="131"/>
      <c r="F21" s="129"/>
      <c r="G21" s="129"/>
      <c r="H21" s="144"/>
      <c r="J21" s="46"/>
      <c r="K21" s="60"/>
    </row>
    <row r="22" spans="1:11" s="26" customFormat="1" ht="15" customHeight="1" x14ac:dyDescent="0.25">
      <c r="A22" s="139" t="s">
        <v>147</v>
      </c>
      <c r="B22" s="143">
        <v>5000</v>
      </c>
      <c r="C22" s="131" t="s">
        <v>12</v>
      </c>
      <c r="D22" s="142"/>
      <c r="E22" s="131"/>
      <c r="F22" s="131"/>
      <c r="G22" s="129"/>
      <c r="H22" s="131"/>
      <c r="J22" s="46"/>
      <c r="K22" s="59"/>
    </row>
    <row r="23" spans="1:11" s="26" customFormat="1" ht="15" customHeight="1" x14ac:dyDescent="0.25">
      <c r="A23" s="139" t="s">
        <v>88</v>
      </c>
      <c r="B23" s="143"/>
      <c r="C23" s="131" t="s">
        <v>3</v>
      </c>
      <c r="D23" s="130"/>
      <c r="E23" s="145"/>
      <c r="F23" s="129"/>
      <c r="G23" s="129"/>
      <c r="H23" s="144"/>
      <c r="J23" s="46"/>
    </row>
    <row r="24" spans="1:11" s="26" customFormat="1" ht="15" customHeight="1" x14ac:dyDescent="0.25">
      <c r="A24" s="139" t="s">
        <v>89</v>
      </c>
      <c r="B24" s="143">
        <f>2%*AnlagenpreisPV</f>
        <v>280</v>
      </c>
      <c r="C24" s="131" t="s">
        <v>3</v>
      </c>
      <c r="D24" s="146"/>
      <c r="E24" s="131"/>
      <c r="F24" s="129"/>
      <c r="G24" s="129"/>
      <c r="H24" s="129"/>
      <c r="J24" s="46"/>
    </row>
    <row r="25" spans="1:11" s="26" customFormat="1" ht="15" customHeight="1" x14ac:dyDescent="0.25">
      <c r="A25" s="128" t="s">
        <v>90</v>
      </c>
      <c r="B25" s="141">
        <f>1.5%*Anlagenpreis</f>
        <v>210</v>
      </c>
      <c r="C25" s="128" t="s">
        <v>17</v>
      </c>
      <c r="D25" s="130"/>
      <c r="E25" s="147"/>
      <c r="F25" s="129"/>
      <c r="G25" s="142"/>
      <c r="H25" s="131"/>
      <c r="J25" s="46"/>
      <c r="K25" s="59"/>
    </row>
    <row r="26" spans="1:11" s="26" customFormat="1" ht="15" customHeight="1" x14ac:dyDescent="0.25">
      <c r="A26" s="131" t="s">
        <v>46</v>
      </c>
      <c r="B26" s="143">
        <v>0</v>
      </c>
      <c r="C26" s="131" t="s">
        <v>17</v>
      </c>
      <c r="D26" s="130"/>
      <c r="E26" s="131"/>
      <c r="F26" s="129"/>
      <c r="G26" s="142"/>
      <c r="H26" s="131"/>
      <c r="J26" s="46"/>
      <c r="K26" s="59"/>
    </row>
    <row r="27" spans="1:11" s="26" customFormat="1" ht="15" customHeight="1" x14ac:dyDescent="0.25">
      <c r="A27" s="121" t="s">
        <v>45</v>
      </c>
      <c r="B27" s="148">
        <v>950</v>
      </c>
      <c r="C27" s="128" t="s">
        <v>47</v>
      </c>
      <c r="D27" s="130"/>
      <c r="E27" s="149" t="s">
        <v>14</v>
      </c>
      <c r="F27" s="129"/>
      <c r="G27" s="129"/>
      <c r="H27" s="129"/>
      <c r="J27" s="46"/>
      <c r="K27" s="59"/>
    </row>
    <row r="28" spans="1:11" s="26" customFormat="1" ht="15" customHeight="1" x14ac:dyDescent="0.25">
      <c r="A28" s="139" t="s">
        <v>91</v>
      </c>
      <c r="B28" s="150">
        <v>4.0000000000000001E-3</v>
      </c>
      <c r="C28" s="130"/>
      <c r="D28" s="130"/>
      <c r="E28" s="131"/>
      <c r="F28" s="129"/>
      <c r="G28" s="129"/>
      <c r="H28" s="144"/>
      <c r="J28" s="46"/>
      <c r="K28" s="59"/>
    </row>
    <row r="29" spans="1:11" s="26" customFormat="1" ht="15" customHeight="1" x14ac:dyDescent="0.25">
      <c r="A29" s="121" t="s">
        <v>92</v>
      </c>
      <c r="B29" s="151">
        <v>0.2</v>
      </c>
      <c r="C29" s="131"/>
      <c r="D29" s="130"/>
      <c r="E29" s="131"/>
      <c r="F29" s="129"/>
      <c r="G29" s="129"/>
      <c r="H29" s="144"/>
      <c r="J29" s="46"/>
      <c r="K29" s="59"/>
    </row>
    <row r="30" spans="1:11" s="26" customFormat="1" ht="15" customHeight="1" x14ac:dyDescent="0.25">
      <c r="A30" s="139" t="s">
        <v>48</v>
      </c>
      <c r="B30" s="152">
        <v>0.4</v>
      </c>
      <c r="C30" s="131"/>
      <c r="D30" s="142"/>
      <c r="E30" s="131"/>
      <c r="F30" s="129"/>
      <c r="G30" s="129"/>
      <c r="H30" s="144"/>
      <c r="J30" s="46"/>
      <c r="K30" s="59"/>
    </row>
    <row r="31" spans="1:11" s="26" customFormat="1" ht="15" customHeight="1" x14ac:dyDescent="0.25">
      <c r="A31" s="139" t="s">
        <v>93</v>
      </c>
      <c r="B31" s="153">
        <v>0.1</v>
      </c>
      <c r="C31" s="131"/>
      <c r="D31" s="130"/>
      <c r="E31" s="149"/>
      <c r="F31" s="129"/>
      <c r="G31" s="129"/>
      <c r="H31" s="129"/>
      <c r="J31" s="46"/>
      <c r="K31" s="59"/>
    </row>
    <row r="32" spans="1:11" s="26" customFormat="1" ht="15" customHeight="1" x14ac:dyDescent="0.25">
      <c r="A32" s="139" t="s">
        <v>94</v>
      </c>
      <c r="B32" s="154">
        <v>0.02</v>
      </c>
      <c r="C32" s="131" t="s">
        <v>0</v>
      </c>
      <c r="D32" s="130"/>
      <c r="E32" s="149"/>
      <c r="F32" s="129"/>
      <c r="G32" s="129"/>
      <c r="H32" s="129"/>
      <c r="J32" s="46"/>
      <c r="K32" s="59"/>
    </row>
    <row r="33" spans="1:11" s="26" customFormat="1" ht="15" customHeight="1" x14ac:dyDescent="0.25">
      <c r="A33" s="139" t="s">
        <v>95</v>
      </c>
      <c r="B33" s="155">
        <v>2022</v>
      </c>
      <c r="C33" s="131"/>
      <c r="D33" s="146"/>
      <c r="E33" s="131"/>
      <c r="F33" s="129"/>
      <c r="G33" s="129"/>
      <c r="H33" s="144"/>
      <c r="J33" s="46"/>
      <c r="K33" s="59"/>
    </row>
    <row r="34" spans="1:11" s="26" customFormat="1" ht="15" customHeight="1" x14ac:dyDescent="0.25">
      <c r="A34" s="139" t="s">
        <v>96</v>
      </c>
      <c r="B34" s="156">
        <v>5</v>
      </c>
      <c r="C34" s="131" t="s">
        <v>51</v>
      </c>
      <c r="D34" s="157">
        <f>VLOOKUP(IBNMonat,'solar yield'!C1:D12,2,TRUE)</f>
        <v>0.68700000000000006</v>
      </c>
      <c r="E34" s="131" t="s">
        <v>50</v>
      </c>
      <c r="F34" s="129"/>
      <c r="G34" s="129"/>
      <c r="H34" s="129"/>
      <c r="J34" s="46"/>
      <c r="K34" s="59"/>
    </row>
    <row r="35" spans="1:11" s="26" customFormat="1" ht="15" customHeight="1" x14ac:dyDescent="0.25">
      <c r="A35" s="139"/>
      <c r="B35" s="158"/>
      <c r="C35" s="129"/>
      <c r="D35" s="130"/>
      <c r="E35" s="131"/>
      <c r="F35" s="129"/>
      <c r="G35" s="129"/>
      <c r="H35" s="129"/>
      <c r="J35" s="46"/>
      <c r="K35" s="59"/>
    </row>
    <row r="36" spans="1:11" s="26" customFormat="1" ht="15" customHeight="1" x14ac:dyDescent="0.25">
      <c r="A36" s="139" t="s">
        <v>97</v>
      </c>
      <c r="B36" s="159">
        <f>AnlagenpreisPV-Zuschuss_PV_Anlage+BatteriespeicherJN*(ZusatzkostenBatterie-ZuschussBatterie)</f>
        <v>14000</v>
      </c>
      <c r="C36" s="131" t="s">
        <v>3</v>
      </c>
      <c r="D36" s="130"/>
      <c r="E36" s="131"/>
      <c r="F36" s="129"/>
      <c r="G36" s="129"/>
      <c r="H36" s="129"/>
      <c r="J36" s="46"/>
      <c r="K36" s="59"/>
    </row>
    <row r="37" spans="1:11" s="26" customFormat="1" ht="15" customHeight="1" x14ac:dyDescent="0.25">
      <c r="A37" s="139" t="s">
        <v>67</v>
      </c>
      <c r="B37" s="160">
        <f>VLOOKUP(IBNJahr,payment!A3:B12,2,TRUE)</f>
        <v>6.4876849408753753E-2</v>
      </c>
      <c r="C37" s="131" t="s">
        <v>11</v>
      </c>
      <c r="D37" s="130"/>
      <c r="E37" s="131"/>
      <c r="F37" s="129"/>
      <c r="G37" s="129"/>
      <c r="H37" s="129"/>
      <c r="J37" s="46"/>
      <c r="K37" s="59"/>
    </row>
    <row r="38" spans="1:11" s="26" customFormat="1" ht="15" customHeight="1" x14ac:dyDescent="0.25">
      <c r="A38" s="139"/>
      <c r="B38" s="129"/>
      <c r="C38" s="129"/>
      <c r="D38" s="130"/>
      <c r="E38" s="131"/>
      <c r="F38" s="129"/>
      <c r="G38" s="129"/>
      <c r="H38" s="129"/>
      <c r="J38" s="46"/>
      <c r="K38" s="59"/>
    </row>
    <row r="39" spans="1:11" s="26" customFormat="1" ht="15" customHeight="1" x14ac:dyDescent="0.25">
      <c r="A39" s="121" t="s">
        <v>98</v>
      </c>
      <c r="B39" s="161"/>
      <c r="C39" s="129"/>
      <c r="D39" s="130"/>
      <c r="E39" s="131"/>
      <c r="F39" s="129"/>
      <c r="G39" s="129"/>
      <c r="H39" s="129"/>
      <c r="J39" s="46"/>
      <c r="K39" s="59"/>
    </row>
    <row r="40" spans="1:11" s="26" customFormat="1" ht="15" customHeight="1" x14ac:dyDescent="0.25">
      <c r="A40" s="139" t="s">
        <v>61</v>
      </c>
      <c r="B40" s="162">
        <f>7000</f>
        <v>7000</v>
      </c>
      <c r="C40" s="131" t="s">
        <v>3</v>
      </c>
      <c r="D40" s="146">
        <f>(Anlagenpreis-Kredit1)/Anlagenpreis</f>
        <v>0.5</v>
      </c>
      <c r="E40" s="131" t="s">
        <v>52</v>
      </c>
      <c r="F40" s="129"/>
      <c r="G40" s="129"/>
      <c r="H40" s="129"/>
      <c r="J40" s="46"/>
      <c r="K40" s="59"/>
    </row>
    <row r="41" spans="1:11" ht="15" customHeight="1" x14ac:dyDescent="0.25">
      <c r="A41" s="136" t="s">
        <v>53</v>
      </c>
      <c r="B41" s="163">
        <v>1</v>
      </c>
      <c r="C41" s="125"/>
      <c r="D41" s="164"/>
      <c r="E41" s="132"/>
      <c r="F41" s="125"/>
      <c r="G41" s="125"/>
      <c r="H41" s="125"/>
      <c r="J41" s="46"/>
    </row>
    <row r="42" spans="1:11" ht="15" customHeight="1" x14ac:dyDescent="0.25">
      <c r="A42" s="136" t="s">
        <v>54</v>
      </c>
      <c r="B42" s="165">
        <v>1.5E-3</v>
      </c>
      <c r="C42" s="125"/>
      <c r="D42" s="125"/>
      <c r="E42" s="132"/>
      <c r="F42" s="125"/>
      <c r="G42" s="125"/>
      <c r="H42" s="125"/>
      <c r="J42" s="46"/>
    </row>
    <row r="43" spans="1:11" s="26" customFormat="1" ht="15" customHeight="1" x14ac:dyDescent="0.25">
      <c r="A43" s="136" t="s">
        <v>55</v>
      </c>
      <c r="B43" s="165">
        <v>2.8400000000000002E-2</v>
      </c>
      <c r="C43" s="131" t="s">
        <v>0</v>
      </c>
      <c r="D43" s="145"/>
      <c r="E43" s="131"/>
      <c r="F43" s="131"/>
      <c r="G43" s="129"/>
      <c r="H43" s="129"/>
      <c r="J43" s="46"/>
      <c r="K43" s="59"/>
    </row>
    <row r="44" spans="1:11" ht="15" customHeight="1" x14ac:dyDescent="0.25">
      <c r="A44" s="136" t="s">
        <v>56</v>
      </c>
      <c r="B44" s="166">
        <v>10</v>
      </c>
      <c r="C44" s="132" t="s">
        <v>57</v>
      </c>
      <c r="D44" s="125"/>
      <c r="E44" s="132"/>
      <c r="F44" s="125"/>
      <c r="G44" s="125"/>
      <c r="H44" s="125"/>
      <c r="J44" s="46"/>
    </row>
    <row r="45" spans="1:11" s="26" customFormat="1" ht="15" customHeight="1" x14ac:dyDescent="0.25">
      <c r="A45" s="136" t="s">
        <v>58</v>
      </c>
      <c r="B45" s="167">
        <v>10</v>
      </c>
      <c r="C45" s="131" t="s">
        <v>57</v>
      </c>
      <c r="D45" s="130"/>
      <c r="E45" s="131"/>
      <c r="F45" s="129"/>
      <c r="G45" s="129"/>
      <c r="H45" s="129"/>
      <c r="J45" s="46"/>
      <c r="K45" s="59"/>
    </row>
    <row r="46" spans="1:11" ht="15" customHeight="1" x14ac:dyDescent="0.25">
      <c r="A46" s="136" t="s">
        <v>59</v>
      </c>
      <c r="B46" s="166">
        <v>2</v>
      </c>
      <c r="C46" s="132" t="s">
        <v>57</v>
      </c>
      <c r="D46" s="125"/>
      <c r="E46" s="132"/>
      <c r="F46" s="125"/>
      <c r="G46" s="125"/>
      <c r="H46" s="125"/>
      <c r="J46" s="46"/>
    </row>
    <row r="47" spans="1:11" ht="15" customHeight="1" x14ac:dyDescent="0.25">
      <c r="A47" s="136" t="s">
        <v>60</v>
      </c>
      <c r="B47" s="165">
        <v>0.05</v>
      </c>
      <c r="C47" s="131" t="s">
        <v>0</v>
      </c>
      <c r="D47" s="125"/>
      <c r="E47" s="132"/>
      <c r="F47" s="125"/>
      <c r="G47" s="125"/>
      <c r="H47" s="125"/>
      <c r="J47" s="46"/>
    </row>
    <row r="48" spans="1:11" ht="15" customHeight="1" x14ac:dyDescent="0.25">
      <c r="A48" s="139" t="s">
        <v>148</v>
      </c>
      <c r="B48" s="167">
        <v>0</v>
      </c>
      <c r="C48" s="131" t="s">
        <v>3</v>
      </c>
      <c r="D48" s="125"/>
      <c r="E48" s="132"/>
      <c r="F48" s="125"/>
      <c r="G48" s="125"/>
      <c r="H48" s="125"/>
      <c r="J48" s="46"/>
    </row>
    <row r="49" spans="1:11" ht="15" customHeight="1" x14ac:dyDescent="0.25">
      <c r="A49" s="136" t="s">
        <v>55</v>
      </c>
      <c r="B49" s="168">
        <v>0.03</v>
      </c>
      <c r="C49" s="131" t="s">
        <v>0</v>
      </c>
      <c r="D49" s="125"/>
      <c r="E49" s="132"/>
      <c r="F49" s="125"/>
      <c r="G49" s="125"/>
      <c r="H49" s="125"/>
      <c r="J49" s="46"/>
    </row>
    <row r="50" spans="1:11" ht="15" customHeight="1" x14ac:dyDescent="0.25">
      <c r="A50" s="136" t="s">
        <v>56</v>
      </c>
      <c r="B50" s="166">
        <v>15</v>
      </c>
      <c r="C50" s="132" t="s">
        <v>4</v>
      </c>
      <c r="D50" s="125"/>
      <c r="E50" s="132"/>
      <c r="F50" s="125"/>
      <c r="G50" s="125"/>
      <c r="H50" s="125"/>
      <c r="J50" s="46"/>
    </row>
    <row r="51" spans="1:11" ht="15" customHeight="1" x14ac:dyDescent="0.25">
      <c r="A51" s="136"/>
      <c r="B51" s="125"/>
      <c r="C51" s="132"/>
      <c r="D51" s="125"/>
      <c r="E51" s="132"/>
      <c r="F51" s="125"/>
      <c r="G51" s="125"/>
      <c r="H51" s="125"/>
      <c r="J51" s="46"/>
    </row>
    <row r="52" spans="1:11" ht="15" customHeight="1" x14ac:dyDescent="0.25">
      <c r="A52" s="121" t="s">
        <v>99</v>
      </c>
      <c r="B52" s="125"/>
      <c r="C52" s="132"/>
      <c r="D52" s="125"/>
      <c r="E52" s="132"/>
      <c r="F52" s="125"/>
      <c r="G52" s="125"/>
      <c r="H52" s="125"/>
      <c r="J52" s="46"/>
    </row>
    <row r="53" spans="1:11" ht="15" customHeight="1" x14ac:dyDescent="0.25">
      <c r="A53" s="139" t="s">
        <v>100</v>
      </c>
      <c r="B53" s="155" t="s">
        <v>72</v>
      </c>
      <c r="C53" s="132"/>
      <c r="D53" s="125"/>
      <c r="E53" s="132"/>
      <c r="F53" s="125"/>
      <c r="G53" s="125"/>
      <c r="H53" s="125"/>
      <c r="J53" s="46"/>
    </row>
    <row r="54" spans="1:11" s="26" customFormat="1" ht="15" customHeight="1" x14ac:dyDescent="0.25">
      <c r="A54" s="139" t="s">
        <v>101</v>
      </c>
      <c r="B54" s="155" t="s">
        <v>72</v>
      </c>
      <c r="C54" s="130"/>
      <c r="D54" s="169"/>
      <c r="E54" s="131"/>
      <c r="F54" s="129"/>
      <c r="G54" s="129"/>
      <c r="H54" s="129"/>
      <c r="J54" s="46"/>
      <c r="K54" s="59"/>
    </row>
    <row r="55" spans="1:11" s="38" customFormat="1" ht="15" hidden="1" customHeight="1" x14ac:dyDescent="0.25">
      <c r="A55" s="131" t="s">
        <v>19</v>
      </c>
      <c r="B55" s="143" t="s">
        <v>10</v>
      </c>
      <c r="C55" s="127"/>
      <c r="D55" s="130"/>
      <c r="E55" s="121"/>
      <c r="F55" s="170"/>
      <c r="G55" s="170"/>
      <c r="H55" s="170"/>
      <c r="I55" s="37"/>
      <c r="J55" s="46"/>
      <c r="K55" s="60"/>
    </row>
    <row r="56" spans="1:11" s="38" customFormat="1" ht="15" hidden="1" customHeight="1" x14ac:dyDescent="0.25">
      <c r="A56" s="131" t="s">
        <v>23</v>
      </c>
      <c r="B56" s="143" t="s">
        <v>13</v>
      </c>
      <c r="C56" s="127"/>
      <c r="D56" s="130"/>
      <c r="E56" s="121"/>
      <c r="F56" s="170"/>
      <c r="G56" s="170"/>
      <c r="H56" s="170"/>
      <c r="I56" s="37"/>
      <c r="J56" s="46"/>
      <c r="K56" s="60"/>
    </row>
    <row r="57" spans="1:11" s="26" customFormat="1" ht="15" customHeight="1" x14ac:dyDescent="0.25">
      <c r="A57" s="139" t="s">
        <v>102</v>
      </c>
      <c r="B57" s="168">
        <v>1.4999999999999999E-2</v>
      </c>
      <c r="C57" s="131" t="s">
        <v>0</v>
      </c>
      <c r="D57" s="130"/>
      <c r="E57" s="131"/>
      <c r="F57" s="129"/>
      <c r="G57" s="129"/>
      <c r="H57" s="129"/>
      <c r="J57" s="46"/>
      <c r="K57" s="59"/>
    </row>
    <row r="58" spans="1:11" s="26" customFormat="1" ht="15" customHeight="1" x14ac:dyDescent="0.25">
      <c r="A58" s="139" t="s">
        <v>149</v>
      </c>
      <c r="B58" s="168">
        <v>0.02</v>
      </c>
      <c r="C58" s="131" t="s">
        <v>0</v>
      </c>
      <c r="D58" s="130"/>
      <c r="E58" s="131"/>
      <c r="F58" s="129"/>
      <c r="G58" s="129"/>
      <c r="H58" s="129"/>
      <c r="J58" s="46"/>
      <c r="K58" s="59"/>
    </row>
    <row r="59" spans="1:11" s="26" customFormat="1" ht="15" customHeight="1" x14ac:dyDescent="0.25">
      <c r="A59" s="139" t="s">
        <v>62</v>
      </c>
      <c r="B59" s="168">
        <v>0</v>
      </c>
      <c r="C59" s="131" t="s">
        <v>0</v>
      </c>
      <c r="D59" s="130"/>
      <c r="E59" s="131"/>
      <c r="F59" s="129"/>
      <c r="G59" s="129"/>
      <c r="H59" s="129"/>
      <c r="J59" s="46"/>
      <c r="K59" s="59"/>
    </row>
    <row r="60" spans="1:11" s="26" customFormat="1" ht="15" customHeight="1" x14ac:dyDescent="0.25">
      <c r="A60" s="139" t="s">
        <v>63</v>
      </c>
      <c r="B60" s="143">
        <v>3000</v>
      </c>
      <c r="C60" s="131" t="s">
        <v>5</v>
      </c>
      <c r="D60" s="131"/>
      <c r="E60" s="131"/>
      <c r="F60" s="129"/>
      <c r="G60" s="129"/>
      <c r="H60" s="129"/>
      <c r="J60" s="46"/>
      <c r="K60" s="59"/>
    </row>
    <row r="61" spans="1:11" s="26" customFormat="1" ht="15" customHeight="1" x14ac:dyDescent="0.25">
      <c r="A61" s="139" t="s">
        <v>150</v>
      </c>
      <c r="B61" s="143">
        <v>90</v>
      </c>
      <c r="C61" s="131" t="s">
        <v>18</v>
      </c>
      <c r="D61" s="130"/>
      <c r="E61" s="131"/>
      <c r="F61" s="129"/>
      <c r="G61" s="129"/>
      <c r="H61" s="129"/>
      <c r="J61" s="46"/>
      <c r="K61" s="59"/>
    </row>
    <row r="62" spans="1:11" s="26" customFormat="1" ht="15" customHeight="1" x14ac:dyDescent="0.25">
      <c r="A62" s="139" t="s">
        <v>151</v>
      </c>
      <c r="B62" s="171">
        <v>0.24</v>
      </c>
      <c r="C62" s="131" t="s">
        <v>11</v>
      </c>
      <c r="D62" s="131" t="s">
        <v>51</v>
      </c>
      <c r="E62" s="172">
        <f>StrompreisNetto*1.19</f>
        <v>0.28559999999999997</v>
      </c>
      <c r="F62" s="131" t="s">
        <v>65</v>
      </c>
      <c r="G62" s="129"/>
      <c r="H62" s="129"/>
      <c r="J62" s="46"/>
      <c r="K62" s="59"/>
    </row>
    <row r="63" spans="1:11" s="26" customFormat="1" ht="15" customHeight="1" x14ac:dyDescent="0.25">
      <c r="A63" s="139" t="s">
        <v>64</v>
      </c>
      <c r="B63" s="168">
        <v>1.4999999999999999E-2</v>
      </c>
      <c r="C63" s="131" t="s">
        <v>0</v>
      </c>
      <c r="D63" s="130"/>
      <c r="E63" s="131"/>
      <c r="F63" s="129"/>
      <c r="G63" s="129"/>
      <c r="H63" s="129"/>
      <c r="J63" s="46"/>
      <c r="K63" s="59"/>
    </row>
    <row r="64" spans="1:11" s="26" customFormat="1" ht="15" hidden="1" customHeight="1" x14ac:dyDescent="0.25">
      <c r="A64" s="173" t="s">
        <v>66</v>
      </c>
      <c r="B64" s="171">
        <v>5.8000000000000003E-2</v>
      </c>
      <c r="C64" s="131" t="s">
        <v>11</v>
      </c>
      <c r="D64" s="130"/>
      <c r="E64" s="131"/>
      <c r="F64" s="129"/>
      <c r="G64" s="129"/>
      <c r="H64" s="129"/>
      <c r="J64" s="46"/>
      <c r="K64" s="59"/>
    </row>
    <row r="65" spans="1:11" s="26" customFormat="1" ht="15" hidden="1" customHeight="1" x14ac:dyDescent="0.25">
      <c r="A65" s="139" t="s">
        <v>20</v>
      </c>
      <c r="B65" s="168">
        <v>1.4999999999999999E-2</v>
      </c>
      <c r="C65" s="131" t="s">
        <v>0</v>
      </c>
      <c r="D65" s="130"/>
      <c r="E65" s="131"/>
      <c r="F65" s="129"/>
      <c r="G65" s="129"/>
      <c r="H65" s="129"/>
      <c r="J65" s="46"/>
      <c r="K65" s="59"/>
    </row>
    <row r="66" spans="1:11" s="26" customFormat="1" ht="15" hidden="1" customHeight="1" x14ac:dyDescent="0.25">
      <c r="A66" s="139" t="s">
        <v>16</v>
      </c>
      <c r="B66" s="174" t="s">
        <v>10</v>
      </c>
      <c r="C66" s="131"/>
      <c r="D66" s="130"/>
      <c r="E66" s="131"/>
      <c r="F66" s="129"/>
      <c r="G66" s="129"/>
      <c r="H66" s="129"/>
      <c r="J66" s="46"/>
      <c r="K66" s="59"/>
    </row>
    <row r="67" spans="1:11" s="26" customFormat="1" ht="15" customHeight="1" x14ac:dyDescent="0.25">
      <c r="A67" s="139" t="s">
        <v>67</v>
      </c>
      <c r="B67" s="175">
        <f>VLOOKUP(IBNJahr,E75:F84,2,TRUE)</f>
        <v>3.7229999999999999E-2</v>
      </c>
      <c r="C67" s="131" t="s">
        <v>11</v>
      </c>
      <c r="D67" s="146">
        <f>IF(IBNJahr&gt;2020,IF(kWp&lt;30,0%,40%),IF(kWp&lt;=10,0,IF(AND(IBNJahr&lt;2014,IBNMonat&lt;8),0,IF(IBNJahr&lt;2016,30%,IF(IBNJahr&lt;2017,35%,40%)))))</f>
        <v>0</v>
      </c>
      <c r="E67" s="176">
        <f>D67*eegUmlage</f>
        <v>0</v>
      </c>
      <c r="F67" s="131" t="s">
        <v>68</v>
      </c>
      <c r="G67" s="129"/>
      <c r="H67" s="129"/>
      <c r="J67" s="46"/>
      <c r="K67" s="59"/>
    </row>
    <row r="68" spans="1:11" s="26" customFormat="1" ht="15" customHeight="1" x14ac:dyDescent="0.25">
      <c r="A68" s="139" t="s">
        <v>152</v>
      </c>
      <c r="B68" s="174">
        <v>0.3</v>
      </c>
      <c r="C68" s="131"/>
      <c r="D68" s="130"/>
      <c r="E68" s="131"/>
      <c r="F68" s="170"/>
      <c r="G68" s="129"/>
      <c r="H68" s="129"/>
      <c r="J68" s="46"/>
      <c r="K68" s="59"/>
    </row>
    <row r="69" spans="1:11" s="26" customFormat="1" ht="15" customHeight="1" x14ac:dyDescent="0.25">
      <c r="A69" s="139" t="s">
        <v>153</v>
      </c>
      <c r="B69" s="174">
        <v>0.3</v>
      </c>
      <c r="C69" s="131"/>
      <c r="D69" s="130"/>
      <c r="E69" s="131"/>
      <c r="F69" s="170"/>
      <c r="G69" s="129"/>
      <c r="H69" s="129"/>
      <c r="J69" s="46"/>
      <c r="K69" s="59"/>
    </row>
    <row r="70" spans="1:11" s="26" customFormat="1" ht="15" customHeight="1" x14ac:dyDescent="0.25">
      <c r="A70" s="139" t="s">
        <v>69</v>
      </c>
      <c r="B70" s="174">
        <v>0</v>
      </c>
      <c r="C70" s="131"/>
      <c r="D70" s="130"/>
      <c r="E70" s="131"/>
      <c r="F70" s="170"/>
      <c r="G70" s="129"/>
      <c r="H70" s="129"/>
      <c r="J70" s="46"/>
      <c r="K70" s="59"/>
    </row>
    <row r="71" spans="1:11" s="26" customFormat="1" ht="15" customHeight="1" x14ac:dyDescent="0.25">
      <c r="A71" s="139" t="s">
        <v>70</v>
      </c>
      <c r="B71" s="165" t="s">
        <v>72</v>
      </c>
      <c r="C71" s="170"/>
      <c r="D71" s="125"/>
      <c r="E71" s="131"/>
      <c r="F71" s="170"/>
      <c r="G71" s="129"/>
      <c r="H71" s="177"/>
      <c r="J71" s="46"/>
      <c r="K71" s="59"/>
    </row>
    <row r="72" spans="1:11" s="26" customFormat="1" ht="15" customHeight="1" x14ac:dyDescent="0.25">
      <c r="A72" s="129"/>
      <c r="B72" s="129"/>
      <c r="C72" s="131"/>
      <c r="D72" s="130"/>
      <c r="E72" s="131"/>
      <c r="F72" s="170"/>
      <c r="G72" s="129"/>
      <c r="H72" s="129"/>
      <c r="J72" s="46"/>
      <c r="K72" s="59"/>
    </row>
    <row r="73" spans="1:11" ht="8.25" customHeight="1" x14ac:dyDescent="0.25">
      <c r="A73" s="44"/>
      <c r="B73" s="45"/>
      <c r="C73" s="45"/>
      <c r="D73" s="45"/>
      <c r="E73" s="71"/>
      <c r="F73" s="45"/>
      <c r="G73" s="45"/>
      <c r="H73" s="45"/>
      <c r="I73" s="45"/>
      <c r="J73" s="46"/>
    </row>
    <row r="74" spans="1:11" ht="15" customHeight="1" x14ac:dyDescent="0.2">
      <c r="A74" s="67" t="s">
        <v>73</v>
      </c>
      <c r="B74" s="25"/>
      <c r="C74" s="32"/>
      <c r="D74" s="32"/>
      <c r="E74" s="67" t="s">
        <v>49</v>
      </c>
      <c r="F74" s="205" t="s">
        <v>67</v>
      </c>
      <c r="G74" s="205"/>
      <c r="H74" s="67" t="s">
        <v>74</v>
      </c>
    </row>
    <row r="75" spans="1:11" ht="15" customHeight="1" x14ac:dyDescent="0.2">
      <c r="A75" s="25"/>
      <c r="B75" s="23">
        <v>0</v>
      </c>
      <c r="C75" s="82" t="s">
        <v>71</v>
      </c>
      <c r="D75" s="72">
        <v>0</v>
      </c>
      <c r="E75" s="69">
        <v>2013</v>
      </c>
      <c r="F75" s="70">
        <v>5.2769999999999997E-2</v>
      </c>
      <c r="H75" s="68">
        <v>1</v>
      </c>
    </row>
    <row r="76" spans="1:11" ht="15" customHeight="1" x14ac:dyDescent="0.2">
      <c r="A76" s="25"/>
      <c r="B76" s="23">
        <v>1</v>
      </c>
      <c r="C76" s="82" t="s">
        <v>72</v>
      </c>
      <c r="D76" s="72">
        <v>0.19</v>
      </c>
      <c r="E76" s="69">
        <f>E75+1</f>
        <v>2014</v>
      </c>
      <c r="F76" s="70">
        <v>6.2399999999999997E-2</v>
      </c>
      <c r="H76" s="68">
        <f>H75+1</f>
        <v>2</v>
      </c>
    </row>
    <row r="77" spans="1:11" ht="15" customHeight="1" x14ac:dyDescent="0.2">
      <c r="A77" s="36"/>
      <c r="B77" s="23">
        <v>2</v>
      </c>
      <c r="C77" s="22"/>
      <c r="D77" s="73"/>
      <c r="E77" s="69">
        <f>E76+1</f>
        <v>2015</v>
      </c>
      <c r="F77" s="70">
        <v>6.1699999999999998E-2</v>
      </c>
      <c r="H77" s="68">
        <f>H76+1</f>
        <v>3</v>
      </c>
    </row>
    <row r="78" spans="1:11" ht="15" customHeight="1" x14ac:dyDescent="0.2">
      <c r="B78" s="22"/>
      <c r="C78" s="22"/>
      <c r="D78" s="73"/>
      <c r="E78" s="69">
        <v>2016</v>
      </c>
      <c r="F78" s="70">
        <v>6.3539999999999999E-2</v>
      </c>
      <c r="H78" s="68">
        <f>H77+1</f>
        <v>4</v>
      </c>
    </row>
    <row r="79" spans="1:11" ht="15" customHeight="1" x14ac:dyDescent="0.2">
      <c r="B79" s="33"/>
      <c r="C79" s="22"/>
      <c r="D79" s="73"/>
      <c r="E79" s="69">
        <v>2017</v>
      </c>
      <c r="F79" s="70">
        <v>6.88E-2</v>
      </c>
      <c r="H79" s="68">
        <f t="shared" ref="H79:H86" si="0">H78+1</f>
        <v>5</v>
      </c>
    </row>
    <row r="80" spans="1:11" ht="15" customHeight="1" x14ac:dyDescent="0.2">
      <c r="B80" s="33"/>
      <c r="C80" s="22"/>
      <c r="D80" s="73"/>
      <c r="E80" s="69">
        <v>2018</v>
      </c>
      <c r="F80" s="70">
        <v>6.7919999999999994E-2</v>
      </c>
      <c r="H80" s="68">
        <f t="shared" si="0"/>
        <v>6</v>
      </c>
    </row>
    <row r="81" spans="2:8" ht="15" customHeight="1" x14ac:dyDescent="0.2">
      <c r="B81" s="22"/>
      <c r="C81" s="22"/>
      <c r="D81" s="73"/>
      <c r="E81" s="69">
        <v>2019</v>
      </c>
      <c r="F81" s="70">
        <v>6.4049999999999996E-2</v>
      </c>
      <c r="H81" s="68">
        <f t="shared" si="0"/>
        <v>7</v>
      </c>
    </row>
    <row r="82" spans="2:8" ht="15" customHeight="1" x14ac:dyDescent="0.2">
      <c r="B82" s="22"/>
      <c r="C82" s="22"/>
      <c r="D82" s="73"/>
      <c r="E82" s="69">
        <v>2020</v>
      </c>
      <c r="F82" s="70">
        <v>6.7559999999999995E-2</v>
      </c>
      <c r="H82" s="68">
        <f t="shared" si="0"/>
        <v>8</v>
      </c>
    </row>
    <row r="83" spans="2:8" ht="15" customHeight="1" x14ac:dyDescent="0.2">
      <c r="B83" s="26"/>
      <c r="C83" s="26"/>
      <c r="D83" s="39"/>
      <c r="E83" s="69">
        <v>2021</v>
      </c>
      <c r="F83" s="70">
        <v>6.5000000000000002E-2</v>
      </c>
      <c r="H83" s="68">
        <f t="shared" si="0"/>
        <v>9</v>
      </c>
    </row>
    <row r="84" spans="2:8" ht="15" customHeight="1" x14ac:dyDescent="0.2">
      <c r="B84" s="22"/>
      <c r="C84" s="22"/>
      <c r="D84" s="73"/>
      <c r="E84" s="69">
        <v>2022</v>
      </c>
      <c r="F84" s="70">
        <v>3.7229999999999999E-2</v>
      </c>
      <c r="H84" s="68">
        <f t="shared" si="0"/>
        <v>10</v>
      </c>
    </row>
    <row r="85" spans="2:8" ht="15" customHeight="1" x14ac:dyDescent="0.2">
      <c r="B85" s="22"/>
      <c r="C85" s="22"/>
      <c r="D85" s="73"/>
      <c r="E85" s="69">
        <v>2023</v>
      </c>
      <c r="F85" s="70">
        <v>5.8040000000000001E-2</v>
      </c>
      <c r="H85" s="68">
        <f t="shared" si="0"/>
        <v>11</v>
      </c>
    </row>
    <row r="86" spans="2:8" ht="15" customHeight="1" x14ac:dyDescent="0.2">
      <c r="B86" s="22"/>
      <c r="C86" s="22"/>
      <c r="D86" s="73"/>
      <c r="E86" s="69">
        <v>2024</v>
      </c>
      <c r="F86" s="70">
        <v>5.7484181818181802E-2</v>
      </c>
      <c r="H86" s="68">
        <f t="shared" si="0"/>
        <v>12</v>
      </c>
    </row>
    <row r="87" spans="2:8" ht="15" customHeight="1" x14ac:dyDescent="0.2">
      <c r="E87" s="69">
        <v>2025</v>
      </c>
      <c r="F87" s="70">
        <v>5.6928363636363603E-2</v>
      </c>
    </row>
    <row r="88" spans="2:8" ht="15" customHeight="1" x14ac:dyDescent="0.2">
      <c r="E88" s="69">
        <v>2026</v>
      </c>
      <c r="F88" s="70">
        <v>5.6372545454545397E-2</v>
      </c>
    </row>
    <row r="89" spans="2:8" ht="15" customHeight="1" x14ac:dyDescent="0.2">
      <c r="E89" s="69">
        <v>2027</v>
      </c>
      <c r="F89" s="70">
        <v>5.5816727272727303E-2</v>
      </c>
    </row>
    <row r="90" spans="2:8" ht="15" customHeight="1" x14ac:dyDescent="0.2">
      <c r="E90" s="69">
        <v>2028</v>
      </c>
      <c r="F90" s="70">
        <v>5.5260909090909097E-2</v>
      </c>
    </row>
    <row r="91" spans="2:8" ht="15" customHeight="1" x14ac:dyDescent="0.2">
      <c r="E91" s="69">
        <v>2029</v>
      </c>
      <c r="F91" s="70">
        <v>5.4705090909090898E-2</v>
      </c>
    </row>
    <row r="92" spans="2:8" ht="15" customHeight="1" x14ac:dyDescent="0.2">
      <c r="E92" s="69">
        <v>2030</v>
      </c>
      <c r="F92" s="70">
        <v>5.4149272727272699E-2</v>
      </c>
    </row>
  </sheetData>
  <dataConsolidate/>
  <customSheetViews>
    <customSheetView guid="{36051EDE-EE05-46A8-9481-5CD2E0A132E3}" scale="90" hiddenColumns="1" showRuler="0">
      <selection activeCell="K14" sqref="K14"/>
      <pageMargins left="0.78740157480314965" right="0.78740157480314965" top="0.98425196850393704" bottom="0.98425196850393704" header="0.51181102362204722" footer="0.51181102362204722"/>
      <printOptions horizontalCentered="1" gridLines="1"/>
      <pageSetup paperSize="9" scale="77" orientation="portrait" horizontalDpi="300" verticalDpi="300"/>
      <headerFooter alignWithMargins="0">
        <oddHeader>&amp;F</oddHeader>
        <oddFooter>&amp;A</oddFooter>
      </headerFooter>
    </customSheetView>
  </customSheetViews>
  <mergeCells count="1">
    <mergeCell ref="F74:G74"/>
  </mergeCells>
  <phoneticPr fontId="0" type="noConversion"/>
  <dataValidations count="6">
    <dataValidation type="list" allowBlank="1" showInputMessage="1" showErrorMessage="1" sqref="B35 B66 B54:B56 B71" xr:uid="{00000000-0002-0000-0100-000000000000}">
      <formula1>$C$75:$C$76</formula1>
    </dataValidation>
    <dataValidation type="list" allowBlank="1" showInputMessage="1" showErrorMessage="1" sqref="B21" xr:uid="{00000000-0002-0000-0100-000001000000}">
      <formula1>$B$75:$B$76</formula1>
    </dataValidation>
    <dataValidation type="list" allowBlank="1" sqref="B33" xr:uid="{00000000-0002-0000-0100-000003000000}">
      <formula1>$E$75:$E$84</formula1>
    </dataValidation>
    <dataValidation type="list" allowBlank="1" showInputMessage="1" showErrorMessage="1" sqref="B67 E75:F92" xr:uid="{00000000-0002-0000-0100-000004000000}">
      <formula1>$F$75:$F$84</formula1>
    </dataValidation>
    <dataValidation type="list" showInputMessage="1" showErrorMessage="1" sqref="B53" xr:uid="{00000000-0002-0000-0100-000005000000}">
      <formula1>$C$75:$C$76</formula1>
    </dataValidation>
    <dataValidation type="list" allowBlank="1" showInputMessage="1" showErrorMessage="1" sqref="B34" xr:uid="{00000000-0002-0000-0100-000002000000}">
      <formula1>$H$75:$H$86</formula1>
    </dataValidation>
  </dataValidations>
  <hyperlinks>
    <hyperlink ref="E27" r:id="rId1" xr:uid="{00000000-0004-0000-0100-000001000000}"/>
  </hyperlinks>
  <printOptions verticalCentered="1" gridLinesSet="0"/>
  <pageMargins left="0.78740157480314965" right="0.39370078740157483" top="0.78740157480314965" bottom="0.78740157480314965" header="0.51181102362204722" footer="0.51181102362204722"/>
  <pageSetup paperSize="9" scale="73" orientation="portrait" horizontalDpi="300" verticalDpi="300" r:id="rId2"/>
  <headerFooter scaleWithDoc="0" alignWithMargins="0">
    <oddHeader>&amp;F</oddHeader>
    <oddFooter>&amp;A</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G35"/>
  <sheetViews>
    <sheetView topLeftCell="S1" zoomScaleNormal="100" workbookViewId="0">
      <selection activeCell="AG6" sqref="AG6"/>
    </sheetView>
  </sheetViews>
  <sheetFormatPr baseColWidth="10" defaultColWidth="10.42578125" defaultRowHeight="12.75" x14ac:dyDescent="0.2"/>
  <cols>
    <col min="1" max="1" width="4.42578125" style="2" customWidth="1"/>
    <col min="2" max="2" width="6.42578125" style="2" customWidth="1"/>
    <col min="3" max="3" width="10.28515625" style="2" customWidth="1"/>
    <col min="4" max="4" width="17.140625" style="2" customWidth="1"/>
    <col min="5" max="5" width="16.7109375" style="2" customWidth="1"/>
    <col min="6" max="6" width="5.140625" style="3" hidden="1" customWidth="1"/>
    <col min="7" max="7" width="14.85546875" style="3" customWidth="1"/>
    <col min="8" max="8" width="17.42578125" style="3" customWidth="1"/>
    <col min="9" max="9" width="17.85546875" style="3" customWidth="1"/>
    <col min="10" max="14" width="10.42578125" style="3" customWidth="1"/>
    <col min="15" max="15" width="10.42578125" style="4" customWidth="1"/>
    <col min="16" max="16" width="10.42578125" style="9" customWidth="1"/>
    <col min="17" max="17" width="10.5703125" style="3" customWidth="1"/>
    <col min="18" max="18" width="11.5703125" style="4" customWidth="1"/>
    <col min="19" max="19" width="11.28515625" style="4" customWidth="1"/>
    <col min="20" max="20" width="10.42578125" style="9" customWidth="1"/>
    <col min="21" max="23" width="10.42578125" style="3" customWidth="1"/>
    <col min="24" max="24" width="10.42578125" style="9" customWidth="1"/>
    <col min="25" max="25" width="10.42578125" style="3" customWidth="1"/>
    <col min="26" max="26" width="10.42578125" style="4" customWidth="1"/>
    <col min="27" max="27" width="11.85546875" style="3" customWidth="1"/>
    <col min="28" max="28" width="10.42578125" style="5" customWidth="1"/>
    <col min="29" max="29" width="10.42578125" style="2"/>
    <col min="30" max="30" width="10.42578125" style="3"/>
    <col min="31" max="31" width="10.42578125" style="2"/>
    <col min="32" max="32" width="12.42578125" style="76" customWidth="1"/>
    <col min="33" max="16384" width="10.42578125" style="47"/>
  </cols>
  <sheetData>
    <row r="1" spans="1:33" s="50" customFormat="1" ht="17.25" customHeight="1" x14ac:dyDescent="0.25">
      <c r="A1" s="188" t="str">
        <f>parameter!A1</f>
        <v>estimating economic efficiency of photovoltaic plants</v>
      </c>
      <c r="B1" s="189"/>
      <c r="C1" s="189"/>
      <c r="D1" s="189"/>
      <c r="E1" s="189"/>
      <c r="F1" s="189"/>
      <c r="G1" s="189"/>
      <c r="H1" s="189"/>
      <c r="I1" s="189"/>
      <c r="J1" s="189"/>
      <c r="K1" s="189"/>
      <c r="L1" s="189"/>
      <c r="M1" s="189"/>
      <c r="N1" s="189"/>
      <c r="O1" s="189"/>
      <c r="P1" s="189"/>
      <c r="Q1" s="190"/>
      <c r="R1" s="190"/>
      <c r="S1" s="190"/>
      <c r="T1" s="190"/>
      <c r="U1" s="190"/>
      <c r="V1" s="190"/>
      <c r="W1" s="190"/>
      <c r="X1" s="190"/>
      <c r="Y1" s="190"/>
      <c r="Z1" s="190"/>
      <c r="AA1" s="191"/>
      <c r="AB1" s="191"/>
      <c r="AC1" s="191"/>
      <c r="AD1" s="192"/>
      <c r="AE1" s="191"/>
      <c r="AF1" s="193"/>
    </row>
    <row r="2" spans="1:33" s="51" customFormat="1" x14ac:dyDescent="0.2">
      <c r="A2" s="194" t="str">
        <f>ProgVersion</f>
        <v>status 11/04/2022</v>
      </c>
      <c r="B2" s="189"/>
      <c r="C2" s="189"/>
      <c r="D2" s="189"/>
      <c r="E2" s="189"/>
      <c r="F2" s="195"/>
      <c r="G2" s="195"/>
      <c r="H2" s="196"/>
      <c r="I2" s="195"/>
      <c r="J2" s="195"/>
      <c r="K2" s="195"/>
      <c r="L2" s="195"/>
      <c r="M2" s="195"/>
      <c r="N2" s="195"/>
      <c r="O2" s="195"/>
      <c r="P2" s="195"/>
      <c r="Q2" s="197"/>
      <c r="R2" s="197"/>
      <c r="S2" s="197"/>
      <c r="T2" s="197"/>
      <c r="U2" s="197"/>
      <c r="V2" s="197"/>
      <c r="W2" s="197"/>
      <c r="X2" s="197"/>
      <c r="Y2" s="197"/>
      <c r="Z2" s="197"/>
      <c r="AA2" s="193"/>
      <c r="AB2" s="193"/>
      <c r="AC2" s="193"/>
      <c r="AD2" s="198"/>
      <c r="AE2" s="193"/>
      <c r="AF2" s="193"/>
    </row>
    <row r="3" spans="1:33" s="51" customFormat="1" x14ac:dyDescent="0.2">
      <c r="A3" s="189"/>
      <c r="B3" s="189"/>
      <c r="C3" s="189"/>
      <c r="D3" s="189"/>
      <c r="E3" s="189"/>
      <c r="F3" s="195"/>
      <c r="G3" s="195"/>
      <c r="H3" s="196"/>
      <c r="I3" s="195"/>
      <c r="J3" s="195"/>
      <c r="K3" s="195"/>
      <c r="L3" s="199"/>
      <c r="M3" s="195"/>
      <c r="N3" s="195"/>
      <c r="O3" s="195"/>
      <c r="P3" s="195"/>
      <c r="Q3" s="197"/>
      <c r="R3" s="197"/>
      <c r="S3" s="197"/>
      <c r="T3" s="197"/>
      <c r="U3" s="197"/>
      <c r="V3" s="197"/>
      <c r="W3" s="197"/>
      <c r="X3" s="197"/>
      <c r="Y3" s="197"/>
      <c r="Z3" s="200"/>
      <c r="AA3" s="193"/>
      <c r="AB3" s="193"/>
      <c r="AC3" s="193"/>
      <c r="AD3" s="198"/>
      <c r="AE3" s="193"/>
      <c r="AF3" s="193"/>
    </row>
    <row r="4" spans="1:33" s="51" customFormat="1" x14ac:dyDescent="0.2">
      <c r="A4" s="193"/>
      <c r="B4" s="189"/>
      <c r="C4" s="189"/>
      <c r="D4" s="189"/>
      <c r="E4" s="189"/>
      <c r="F4" s="195"/>
      <c r="G4" s="195"/>
      <c r="H4" s="196"/>
      <c r="I4" s="195"/>
      <c r="J4" s="195"/>
      <c r="K4" s="195"/>
      <c r="L4" s="201"/>
      <c r="M4" s="195"/>
      <c r="N4" s="195"/>
      <c r="O4" s="195"/>
      <c r="P4" s="195"/>
      <c r="Q4" s="197"/>
      <c r="R4" s="197"/>
      <c r="S4" s="197"/>
      <c r="T4" s="197"/>
      <c r="U4" s="197"/>
      <c r="V4" s="197"/>
      <c r="W4" s="197"/>
      <c r="X4" s="197"/>
      <c r="Y4" s="197"/>
      <c r="Z4" s="197"/>
      <c r="AA4" s="193"/>
      <c r="AB4" s="193"/>
      <c r="AC4" s="193"/>
      <c r="AD4" s="198"/>
      <c r="AE4" s="193"/>
      <c r="AF4" s="193"/>
    </row>
    <row r="5" spans="1:33" s="52" customFormat="1" x14ac:dyDescent="0.2">
      <c r="A5" s="87"/>
      <c r="B5" s="87"/>
      <c r="C5" s="88" t="s">
        <v>36</v>
      </c>
      <c r="D5" s="88" t="s">
        <v>37</v>
      </c>
      <c r="E5" s="88" t="s">
        <v>37</v>
      </c>
      <c r="F5" s="88"/>
      <c r="G5" s="206" t="s">
        <v>78</v>
      </c>
      <c r="H5" s="88" t="s">
        <v>37</v>
      </c>
      <c r="I5" s="88" t="s">
        <v>103</v>
      </c>
      <c r="J5" s="88" t="s">
        <v>38</v>
      </c>
      <c r="K5" s="87" t="s">
        <v>39</v>
      </c>
      <c r="L5" s="88" t="s">
        <v>108</v>
      </c>
      <c r="M5" s="89"/>
      <c r="N5" s="88" t="s">
        <v>111</v>
      </c>
      <c r="O5" s="88"/>
      <c r="P5" s="88" t="s">
        <v>114</v>
      </c>
      <c r="Q5" s="88" t="s">
        <v>112</v>
      </c>
      <c r="R5" s="88"/>
      <c r="S5" s="88"/>
      <c r="T5" s="88" t="s">
        <v>114</v>
      </c>
      <c r="U5" s="88"/>
      <c r="V5" s="88" t="s">
        <v>119</v>
      </c>
      <c r="W5" s="89"/>
      <c r="X5" s="89"/>
      <c r="Y5" s="88" t="s">
        <v>124</v>
      </c>
      <c r="Z5" s="90" t="s">
        <v>126</v>
      </c>
      <c r="AA5" s="88" t="s">
        <v>24</v>
      </c>
      <c r="AB5" s="89"/>
      <c r="AC5" s="89"/>
      <c r="AD5" s="87" t="s">
        <v>108</v>
      </c>
      <c r="AE5" s="87" t="s">
        <v>133</v>
      </c>
      <c r="AF5" s="89"/>
    </row>
    <row r="6" spans="1:33" s="52" customFormat="1" ht="38.450000000000003" customHeight="1" x14ac:dyDescent="0.2">
      <c r="A6" s="88" t="s">
        <v>75</v>
      </c>
      <c r="B6" s="88" t="s">
        <v>76</v>
      </c>
      <c r="C6" s="87" t="s">
        <v>5</v>
      </c>
      <c r="D6" s="87" t="s">
        <v>22</v>
      </c>
      <c r="E6" s="87" t="s">
        <v>5</v>
      </c>
      <c r="F6" s="87" t="s">
        <v>21</v>
      </c>
      <c r="G6" s="207"/>
      <c r="H6" s="91" t="s">
        <v>77</v>
      </c>
      <c r="I6" s="92" t="s">
        <v>104</v>
      </c>
      <c r="J6" s="91" t="s">
        <v>105</v>
      </c>
      <c r="K6" s="93" t="s">
        <v>106</v>
      </c>
      <c r="L6" s="92" t="s">
        <v>107</v>
      </c>
      <c r="M6" s="92" t="s">
        <v>109</v>
      </c>
      <c r="N6" s="92" t="s">
        <v>110</v>
      </c>
      <c r="O6" s="92" t="s">
        <v>113</v>
      </c>
      <c r="P6" s="88" t="s">
        <v>115</v>
      </c>
      <c r="Q6" s="88" t="s">
        <v>116</v>
      </c>
      <c r="R6" s="88" t="s">
        <v>117</v>
      </c>
      <c r="S6" s="92" t="s">
        <v>118</v>
      </c>
      <c r="T6" s="88" t="s">
        <v>115</v>
      </c>
      <c r="U6" s="88" t="s">
        <v>120</v>
      </c>
      <c r="V6" s="92" t="s">
        <v>121</v>
      </c>
      <c r="W6" s="92" t="s">
        <v>123</v>
      </c>
      <c r="X6" s="92" t="s">
        <v>122</v>
      </c>
      <c r="Y6" s="88" t="s">
        <v>125</v>
      </c>
      <c r="Z6" s="90" t="s">
        <v>127</v>
      </c>
      <c r="AA6" s="92" t="s">
        <v>128</v>
      </c>
      <c r="AB6" s="92" t="s">
        <v>130</v>
      </c>
      <c r="AC6" s="91" t="s">
        <v>129</v>
      </c>
      <c r="AD6" s="92" t="s">
        <v>132</v>
      </c>
      <c r="AE6" s="88" t="s">
        <v>131</v>
      </c>
      <c r="AF6" s="87" t="s">
        <v>134</v>
      </c>
    </row>
    <row r="7" spans="1:33" s="52" customFormat="1" x14ac:dyDescent="0.2">
      <c r="A7" s="94">
        <v>-1</v>
      </c>
      <c r="B7" s="94"/>
      <c r="C7" s="94"/>
      <c r="D7" s="94"/>
      <c r="E7" s="94"/>
      <c r="F7" s="94"/>
      <c r="G7" s="94"/>
      <c r="H7" s="95"/>
      <c r="I7" s="96"/>
      <c r="J7" s="94"/>
      <c r="K7" s="94"/>
      <c r="L7" s="97"/>
      <c r="M7" s="97"/>
      <c r="N7" s="98"/>
      <c r="O7" s="99"/>
      <c r="P7" s="97">
        <f>Kredit1</f>
        <v>7000</v>
      </c>
      <c r="Q7" s="94"/>
      <c r="R7" s="99"/>
      <c r="S7" s="99"/>
      <c r="T7" s="97">
        <f>Kredit2</f>
        <v>0</v>
      </c>
      <c r="U7" s="94"/>
      <c r="V7" s="94">
        <f>-AnlagenpreisPV*Investitionsabzug</f>
        <v>0</v>
      </c>
      <c r="W7" s="97"/>
      <c r="X7" s="97">
        <f>AnlagenpreisPV+BatteriespeicherJN*ZusatzkostenBatterie</f>
        <v>14000</v>
      </c>
      <c r="Y7" s="95"/>
      <c r="Z7" s="94"/>
      <c r="AA7" s="94">
        <f>U7+Z7</f>
        <v>0</v>
      </c>
      <c r="AB7" s="94">
        <f>AA7</f>
        <v>0</v>
      </c>
      <c r="AC7" s="94">
        <f>AB7</f>
        <v>0</v>
      </c>
      <c r="AD7" s="98"/>
      <c r="AE7" s="95"/>
      <c r="AF7" s="100"/>
    </row>
    <row r="8" spans="1:33" s="53" customFormat="1" x14ac:dyDescent="0.2">
      <c r="A8" s="94">
        <v>0</v>
      </c>
      <c r="B8" s="101">
        <f>IBNJahr</f>
        <v>2022</v>
      </c>
      <c r="C8" s="94">
        <f>Solarertrag1*Stromertrag*kWp</f>
        <v>6526.5000000000009</v>
      </c>
      <c r="D8" s="102">
        <f t="shared" ref="D8:D28" si="0">(Direktnutzung+BatteriespeicherJN*EigennutzungSpeicher*(1-Ladeverluste)*(1-Speicherdegradation)^A8)</f>
        <v>0.2</v>
      </c>
      <c r="E8" s="94">
        <f>C8*D8</f>
        <v>1305.3000000000002</v>
      </c>
      <c r="F8" s="94">
        <f t="shared" ref="F8:F28" si="1">IF(Kleinunternehmer="ja",1,IF(KUR="nein",0,IF(A8&gt;6,1,0)))</f>
        <v>0</v>
      </c>
      <c r="G8" s="94">
        <f t="shared" ref="G8:G28" si="2">IF(Direktvermarktung="ja",0,C8*(1-(Direktnutzung+BatteriespeicherJN*Direktnutzung_Batteriespeicher)))*EEG_Vergütung</f>
        <v>338.73500613298512</v>
      </c>
      <c r="H8" s="94">
        <f t="shared" ref="H8:H28" si="3">E8*IF(Gewerbe="ja",1,1.19)*StrompreisNetto*(1+Strompreissteigerung)^A8</f>
        <v>372.79368000000005</v>
      </c>
      <c r="I8" s="94">
        <f>IF(Direktvermarktung="nein",0,StromerlösDirektvermarktung*C8*(1-(Direktnutzung+BatteriespeicherJN*Direktnutzung_Batteriespeicher))*(1+parameter!B$65)^A8)</f>
        <v>302.82960000000008</v>
      </c>
      <c r="J8" s="94">
        <f t="shared" ref="J8:J28" si="4">-D8*IF(AND(IBNJahr=2014,DATE(IBNJahr,IBNMonat,1)&lt;DATE(2014,8,1)),0,IF(IBNJahr&lt;2021,IF(kWp&lt;=10,0,eegUmlageAnteil*C8),IF(kWp&lt;=30,0,eegUmlageAnteil*C8)))*IF(OR(Gewerbe="ja",F8=1),1,1.19)</f>
        <v>0</v>
      </c>
      <c r="K8" s="94">
        <f t="shared" ref="K8:K28" si="5">IF(OR(Gewerbe="ja",F8=1),0,-(Eigennutzung+BatteriespeicherJN*Direktnutzung_Batteriespeicher)*C8*0.19*(StrompreisNetto+Grundgebühr/Stromverbrauch)*(1+Strompreissteigerung)^A8)</f>
        <v>-66.961890000000011</v>
      </c>
      <c r="L8" s="94">
        <f>-(LfdKosten*(13-IBNMonat)/12+Vorlaufkosten)*IF(Kleinunternehmer="ja",1.19,1)</f>
        <v>-420</v>
      </c>
      <c r="M8" s="94">
        <f>-Dachmiete</f>
        <v>0</v>
      </c>
      <c r="N8" s="94">
        <f>-(13-IBNMonat)/12*P7*Zinssatz1</f>
        <v>-132.53333333333333</v>
      </c>
      <c r="O8" s="94">
        <f t="shared" ref="O8:O28" si="6">IF(OR(A8&gt;Laufzeit1,A8&lt;Tilgungsfrei1),0,IF(A8=Tilgungsfrei1,-P$7/(Laufzeit1-Tilgungsfrei1)*(13-IBNMonat)/12,IF(A8=Laufzeit1,-P$7/(Laufzeit1-Tilgungsfrei1)*(IBNMonat-1)/12,-P$7/(Laufzeit1-Tilgungsfrei1))))</f>
        <v>0</v>
      </c>
      <c r="P8" s="94">
        <f t="shared" ref="P8:P18" si="7">P7+O8</f>
        <v>7000</v>
      </c>
      <c r="Q8" s="94">
        <v>0</v>
      </c>
      <c r="R8" s="94">
        <f>-T7*Zinssatz2*(13-IBNMonat)/12</f>
        <v>0</v>
      </c>
      <c r="S8" s="94">
        <v>0</v>
      </c>
      <c r="T8" s="94">
        <f>T7+S8</f>
        <v>0</v>
      </c>
      <c r="U8" s="94">
        <f>SUM(G8:O8)+Q8-EigenkapitalZuAnfang-Bereitstellung1*Kredit1+IF(AND(Gewerbe="nein",Kleinunternehmer="ja"),0,0.19*(AnlagenpreisPV+BatteriespeicherJN*ZusatzkostenBatterie))</f>
        <v>-6615.6369372003483</v>
      </c>
      <c r="V8" s="94">
        <f>IF(Sonderabschreibung="ja",-X$7*0.19,0)</f>
        <v>0</v>
      </c>
      <c r="W8" s="97">
        <f>-X$7*0.05*(13-IBNMonat)/12</f>
        <v>-466.66666666666669</v>
      </c>
      <c r="X8" s="94">
        <f>X7+V8+W8-IF(IBNJahr&gt;2015,X7*Investitionsabzug,0)</f>
        <v>13533.333333333334</v>
      </c>
      <c r="Y8" s="94">
        <f t="shared" ref="Y8:Y28" si="8">SUM(G8:N8)+R8+V8+W8</f>
        <v>-71.803603867014715</v>
      </c>
      <c r="Z8" s="103">
        <f t="shared" ref="Z8:Z18" si="9">IF(OR(IBNJahr&lt;2021,Anlagenleistung&gt;10),-Y8*Steuersatz1,IF(Steuerbefreiung="ja",0,-Y8*Steuersatz1))</f>
        <v>21.541081160104415</v>
      </c>
      <c r="AA8" s="94">
        <f t="shared" ref="AA8:AA28" si="10">U8+Z8</f>
        <v>-6594.0958560402441</v>
      </c>
      <c r="AB8" s="94">
        <f t="shared" ref="AB8:AB28" si="11">AA8/(1+ZinssatzBarwert)^A8</f>
        <v>-6594.0958560402441</v>
      </c>
      <c r="AC8" s="94">
        <f>AC7+AB8</f>
        <v>-6594.0958560402441</v>
      </c>
      <c r="AD8" s="94">
        <f t="shared" ref="AD8:AD28" si="12">-(L8+M8)/(1+ZinssatzBarwert)^A8</f>
        <v>420</v>
      </c>
      <c r="AE8" s="97">
        <f t="shared" ref="AE8:AE28" si="13">C8/(1+ZinssatzBarwert)^A8</f>
        <v>6526.5000000000009</v>
      </c>
      <c r="AF8" s="94">
        <v>1</v>
      </c>
    </row>
    <row r="9" spans="1:33" s="51" customFormat="1" ht="12.6" customHeight="1" x14ac:dyDescent="0.2">
      <c r="A9" s="94">
        <v>1</v>
      </c>
      <c r="B9" s="101">
        <f>B8+1</f>
        <v>2023</v>
      </c>
      <c r="C9" s="94">
        <f t="shared" ref="C9:C27" si="14">Stromertrag*kWp*(1-Ertragsminderung)^A9</f>
        <v>9462</v>
      </c>
      <c r="D9" s="102">
        <f t="shared" si="0"/>
        <v>0.2</v>
      </c>
      <c r="E9" s="94">
        <f t="shared" ref="E9:E28" si="15">C9*D9</f>
        <v>1892.4</v>
      </c>
      <c r="F9" s="94">
        <f t="shared" si="1"/>
        <v>0</v>
      </c>
      <c r="G9" s="94">
        <f t="shared" si="2"/>
        <v>491.09179928450243</v>
      </c>
      <c r="H9" s="94">
        <f t="shared" si="3"/>
        <v>548.57648159999997</v>
      </c>
      <c r="I9" s="94">
        <f>IF(Direktvermarktung="nein",0,StromerlösDirektvermarktung*C9*(1-(Direktnutzung+BatteriespeicherJN*Direktnutzung_Batteriespeicher))*(1+parameter!B$65)^A9)</f>
        <v>445.62235200000003</v>
      </c>
      <c r="J9" s="94">
        <f t="shared" si="4"/>
        <v>0</v>
      </c>
      <c r="K9" s="94">
        <f t="shared" si="5"/>
        <v>-98.53632180000001</v>
      </c>
      <c r="L9" s="94">
        <f t="shared" ref="L9:L28" si="16">-LfdKosten*(1+Inflationsrate)^A9*IF(Kleinunternehmer="ja",1.19,1)</f>
        <v>-213.14999999999998</v>
      </c>
      <c r="M9" s="94">
        <f t="shared" ref="M9:M28" si="17">M8*(1+Inflationsrate)</f>
        <v>0</v>
      </c>
      <c r="N9" s="94">
        <f t="shared" ref="N9:N28" si="18">IF(A9=Laufzeit1,IF(A9&gt;Zinsbindung1,-P8*Zinssatz1NachZinsbindung*(13-IBNMonat)/12,-P8*Zinssatz1*(13-IBNMonat)/12),IF(A9&lt;Zinsbindung1,-P8*Zinssatz1,-P8*Zinssatz1NachZinsbindung))</f>
        <v>-198.8</v>
      </c>
      <c r="O9" s="94">
        <f t="shared" si="6"/>
        <v>0</v>
      </c>
      <c r="P9" s="94">
        <f t="shared" si="7"/>
        <v>7000</v>
      </c>
      <c r="Q9" s="94">
        <f t="shared" ref="Q9:Q28" si="19">IF(A9&gt;Laufzeit2,0,PMT(Zinssatz2,Laufzeit2,Kredit2))</f>
        <v>0</v>
      </c>
      <c r="R9" s="94">
        <f t="shared" ref="R9:R28" si="20">-T8*Zinssatz2</f>
        <v>0</v>
      </c>
      <c r="S9" s="94">
        <f t="shared" ref="S9:S23" si="21">Q9-R9</f>
        <v>0</v>
      </c>
      <c r="T9" s="94">
        <f t="shared" ref="T9:T28" si="22">T8+S9</f>
        <v>0</v>
      </c>
      <c r="U9" s="94">
        <f t="shared" ref="U9:U28" si="23">SUM(G9:O9)+Q9</f>
        <v>974.80431108450261</v>
      </c>
      <c r="V9" s="94">
        <v>0</v>
      </c>
      <c r="W9" s="97">
        <f>-X$8*0.05</f>
        <v>-676.66666666666674</v>
      </c>
      <c r="X9" s="94">
        <f>X8+V9+W9</f>
        <v>12856.666666666668</v>
      </c>
      <c r="Y9" s="94">
        <f t="shared" si="8"/>
        <v>298.13764441783587</v>
      </c>
      <c r="Z9" s="103">
        <f t="shared" si="9"/>
        <v>-89.441293325350756</v>
      </c>
      <c r="AA9" s="94">
        <f t="shared" si="10"/>
        <v>885.36301775915183</v>
      </c>
      <c r="AB9" s="94">
        <f t="shared" si="11"/>
        <v>868.00295858740378</v>
      </c>
      <c r="AC9" s="94">
        <f>AC8+AB9</f>
        <v>-5726.0928974528406</v>
      </c>
      <c r="AD9" s="94">
        <f t="shared" si="12"/>
        <v>208.97058823529409</v>
      </c>
      <c r="AE9" s="97">
        <f t="shared" si="13"/>
        <v>9276.4705882352937</v>
      </c>
      <c r="AF9" s="94">
        <v>1</v>
      </c>
    </row>
    <row r="10" spans="1:33" s="51" customFormat="1" x14ac:dyDescent="0.2">
      <c r="A10" s="94">
        <v>2</v>
      </c>
      <c r="B10" s="101">
        <f t="shared" ref="B10:B28" si="24">B9+1</f>
        <v>2024</v>
      </c>
      <c r="C10" s="94">
        <f t="shared" si="14"/>
        <v>9424.152</v>
      </c>
      <c r="D10" s="102">
        <f t="shared" si="0"/>
        <v>0.2</v>
      </c>
      <c r="E10" s="94">
        <f t="shared" si="15"/>
        <v>1884.8304000000001</v>
      </c>
      <c r="F10" s="94">
        <f t="shared" si="1"/>
        <v>0</v>
      </c>
      <c r="G10" s="94">
        <f t="shared" si="2"/>
        <v>489.12743208736441</v>
      </c>
      <c r="H10" s="94">
        <f t="shared" si="3"/>
        <v>554.57790830870374</v>
      </c>
      <c r="I10" s="94">
        <f>IF(Direktvermarktung="nein",0,StromerlösDirektvermarktung*C10*(1-(Direktnutzung+BatteriespeicherJN*Direktnutzung_Batteriespeicher))*(1+parameter!B$65)^A10)</f>
        <v>450.49746053087995</v>
      </c>
      <c r="J10" s="94">
        <f t="shared" si="4"/>
        <v>0</v>
      </c>
      <c r="K10" s="94">
        <f t="shared" si="5"/>
        <v>-99.61430916049197</v>
      </c>
      <c r="L10" s="94">
        <f t="shared" si="16"/>
        <v>-216.34724999999995</v>
      </c>
      <c r="M10" s="94">
        <f t="shared" si="17"/>
        <v>0</v>
      </c>
      <c r="N10" s="94">
        <f t="shared" si="18"/>
        <v>-198.8</v>
      </c>
      <c r="O10" s="94">
        <f t="shared" si="6"/>
        <v>-583.33333333333337</v>
      </c>
      <c r="P10" s="94">
        <f t="shared" si="7"/>
        <v>6416.666666666667</v>
      </c>
      <c r="Q10" s="94">
        <f t="shared" si="19"/>
        <v>0</v>
      </c>
      <c r="R10" s="94">
        <f t="shared" si="20"/>
        <v>0</v>
      </c>
      <c r="S10" s="94">
        <f t="shared" si="21"/>
        <v>0</v>
      </c>
      <c r="T10" s="94">
        <f t="shared" si="22"/>
        <v>0</v>
      </c>
      <c r="U10" s="94">
        <f t="shared" si="23"/>
        <v>396.10790843312259</v>
      </c>
      <c r="V10" s="94">
        <v>0</v>
      </c>
      <c r="W10" s="97">
        <f>-X$8*0.05</f>
        <v>-676.66666666666674</v>
      </c>
      <c r="X10" s="94">
        <f>X9+V10+W10</f>
        <v>12180.000000000002</v>
      </c>
      <c r="Y10" s="94">
        <f t="shared" si="8"/>
        <v>302.77457509978922</v>
      </c>
      <c r="Z10" s="103">
        <f t="shared" si="9"/>
        <v>-90.832372529936762</v>
      </c>
      <c r="AA10" s="94">
        <f t="shared" si="10"/>
        <v>305.27553590318581</v>
      </c>
      <c r="AB10" s="94">
        <f t="shared" si="11"/>
        <v>293.42131478583798</v>
      </c>
      <c r="AC10" s="94">
        <f t="shared" ref="AC10:AC27" si="25">AC9+AB10</f>
        <v>-5432.6715826670024</v>
      </c>
      <c r="AD10" s="94">
        <f t="shared" si="12"/>
        <v>207.94622260668967</v>
      </c>
      <c r="AE10" s="97">
        <f t="shared" si="13"/>
        <v>9058.2006920415224</v>
      </c>
      <c r="AF10" s="94">
        <v>1</v>
      </c>
    </row>
    <row r="11" spans="1:33" s="51" customFormat="1" x14ac:dyDescent="0.2">
      <c r="A11" s="94">
        <v>3</v>
      </c>
      <c r="B11" s="101">
        <f t="shared" si="24"/>
        <v>2025</v>
      </c>
      <c r="C11" s="94">
        <f t="shared" si="14"/>
        <v>9386.4553919999998</v>
      </c>
      <c r="D11" s="102">
        <f t="shared" si="0"/>
        <v>0.2</v>
      </c>
      <c r="E11" s="94">
        <f t="shared" si="15"/>
        <v>1877.2910784000001</v>
      </c>
      <c r="F11" s="94">
        <f t="shared" si="1"/>
        <v>0</v>
      </c>
      <c r="G11" s="94">
        <f t="shared" si="2"/>
        <v>487.17092235901498</v>
      </c>
      <c r="H11" s="94">
        <f t="shared" si="3"/>
        <v>560.64499062560094</v>
      </c>
      <c r="I11" s="94">
        <f>IF(Direktvermarktung="nein",0,StromerlösDirektvermarktung*C11*(1-(Direktnutzung+BatteriespeicherJN*Direktnutzung_Batteriespeicher))*(1+parameter!B$65)^A11)</f>
        <v>455.4259027490877</v>
      </c>
      <c r="J11" s="94">
        <f t="shared" si="4"/>
        <v>0</v>
      </c>
      <c r="K11" s="94">
        <f t="shared" si="5"/>
        <v>-100.70408970270775</v>
      </c>
      <c r="L11" s="94">
        <f t="shared" si="16"/>
        <v>-219.59245874999991</v>
      </c>
      <c r="M11" s="94">
        <f t="shared" si="17"/>
        <v>0</v>
      </c>
      <c r="N11" s="94">
        <f t="shared" si="18"/>
        <v>-182.23333333333335</v>
      </c>
      <c r="O11" s="94">
        <f t="shared" si="6"/>
        <v>-875</v>
      </c>
      <c r="P11" s="94">
        <f t="shared" si="7"/>
        <v>5541.666666666667</v>
      </c>
      <c r="Q11" s="94">
        <f t="shared" si="19"/>
        <v>0</v>
      </c>
      <c r="R11" s="94">
        <f t="shared" si="20"/>
        <v>0</v>
      </c>
      <c r="S11" s="94">
        <f t="shared" si="21"/>
        <v>0</v>
      </c>
      <c r="T11" s="94">
        <f t="shared" si="22"/>
        <v>0</v>
      </c>
      <c r="U11" s="94">
        <f t="shared" si="23"/>
        <v>125.7119339476626</v>
      </c>
      <c r="V11" s="94">
        <v>0</v>
      </c>
      <c r="W11" s="97">
        <f t="shared" ref="W11:W27" si="26">-X$8*0.05</f>
        <v>-676.66666666666674</v>
      </c>
      <c r="X11" s="94">
        <f>X10+V11+W11</f>
        <v>11503.333333333336</v>
      </c>
      <c r="Y11" s="94">
        <f t="shared" si="8"/>
        <v>324.04526728099586</v>
      </c>
      <c r="Z11" s="103">
        <f t="shared" si="9"/>
        <v>-97.213580184298749</v>
      </c>
      <c r="AA11" s="94">
        <f t="shared" si="10"/>
        <v>28.498353763363852</v>
      </c>
      <c r="AB11" s="94">
        <f t="shared" si="11"/>
        <v>26.854635249040577</v>
      </c>
      <c r="AC11" s="94">
        <f t="shared" si="25"/>
        <v>-5405.8169474179622</v>
      </c>
      <c r="AD11" s="94">
        <f t="shared" si="12"/>
        <v>206.9268783782255</v>
      </c>
      <c r="AE11" s="97">
        <f t="shared" si="13"/>
        <v>8845.0665581111334</v>
      </c>
      <c r="AF11" s="94">
        <v>1</v>
      </c>
      <c r="AG11" s="53"/>
    </row>
    <row r="12" spans="1:33" s="51" customFormat="1" x14ac:dyDescent="0.2">
      <c r="A12" s="94">
        <v>4</v>
      </c>
      <c r="B12" s="101">
        <f t="shared" si="24"/>
        <v>2026</v>
      </c>
      <c r="C12" s="94">
        <f t="shared" si="14"/>
        <v>9348.9095704320007</v>
      </c>
      <c r="D12" s="102">
        <f t="shared" si="0"/>
        <v>0.2</v>
      </c>
      <c r="E12" s="94">
        <f t="shared" si="15"/>
        <v>1869.7819140864003</v>
      </c>
      <c r="F12" s="94">
        <f t="shared" si="1"/>
        <v>0</v>
      </c>
      <c r="G12" s="94">
        <f t="shared" si="2"/>
        <v>485.22223866957899</v>
      </c>
      <c r="H12" s="94">
        <f t="shared" si="3"/>
        <v>566.7784468230451</v>
      </c>
      <c r="I12" s="94">
        <f>IF(Direktvermarktung="nein",0,StromerlösDirektvermarktung*C12*(1-(Direktnutzung+BatteriespeicherJN*Direktnutzung_Batteriespeicher))*(1+parameter!B$65)^A12)</f>
        <v>460.40826212516265</v>
      </c>
      <c r="J12" s="94">
        <f t="shared" si="4"/>
        <v>0</v>
      </c>
      <c r="K12" s="94">
        <f t="shared" si="5"/>
        <v>-101.80579244405538</v>
      </c>
      <c r="L12" s="94">
        <f t="shared" si="16"/>
        <v>-222.88634563124987</v>
      </c>
      <c r="M12" s="94">
        <f t="shared" si="17"/>
        <v>0</v>
      </c>
      <c r="N12" s="94">
        <f t="shared" si="18"/>
        <v>-157.38333333333335</v>
      </c>
      <c r="O12" s="94">
        <f t="shared" si="6"/>
        <v>-875</v>
      </c>
      <c r="P12" s="94">
        <f t="shared" si="7"/>
        <v>4666.666666666667</v>
      </c>
      <c r="Q12" s="94">
        <f t="shared" si="19"/>
        <v>0</v>
      </c>
      <c r="R12" s="94">
        <f t="shared" si="20"/>
        <v>0</v>
      </c>
      <c r="S12" s="94">
        <f t="shared" si="21"/>
        <v>0</v>
      </c>
      <c r="T12" s="94">
        <f t="shared" si="22"/>
        <v>0</v>
      </c>
      <c r="U12" s="94">
        <f t="shared" si="23"/>
        <v>155.3334762091481</v>
      </c>
      <c r="V12" s="94">
        <f>IF(Sonderabschreibung="ja",-X$7*0.01,0)</f>
        <v>0</v>
      </c>
      <c r="W12" s="97">
        <f t="shared" si="26"/>
        <v>-676.66666666666674</v>
      </c>
      <c r="X12" s="94">
        <f>X11+V12+W12</f>
        <v>10826.66666666667</v>
      </c>
      <c r="Y12" s="94">
        <f t="shared" si="8"/>
        <v>353.66680954248136</v>
      </c>
      <c r="Z12" s="103">
        <f t="shared" si="9"/>
        <v>-106.1000428627444</v>
      </c>
      <c r="AA12" s="94">
        <f t="shared" si="10"/>
        <v>49.2334333464037</v>
      </c>
      <c r="AB12" s="94">
        <f t="shared" si="11"/>
        <v>45.484082204656318</v>
      </c>
      <c r="AC12" s="94">
        <f t="shared" si="25"/>
        <v>-5360.3328652133059</v>
      </c>
      <c r="AD12" s="94">
        <f t="shared" si="12"/>
        <v>205.91253093519492</v>
      </c>
      <c r="AE12" s="97">
        <f t="shared" si="13"/>
        <v>8636.9473449791076</v>
      </c>
      <c r="AF12" s="94">
        <v>1</v>
      </c>
    </row>
    <row r="13" spans="1:33" s="51" customFormat="1" x14ac:dyDescent="0.2">
      <c r="A13" s="94">
        <v>5</v>
      </c>
      <c r="B13" s="101">
        <f t="shared" si="24"/>
        <v>2027</v>
      </c>
      <c r="C13" s="94">
        <f t="shared" si="14"/>
        <v>9311.513932150272</v>
      </c>
      <c r="D13" s="102">
        <f t="shared" si="0"/>
        <v>0.2</v>
      </c>
      <c r="E13" s="94">
        <f t="shared" si="15"/>
        <v>1862.3027864300545</v>
      </c>
      <c r="F13" s="94">
        <f t="shared" si="1"/>
        <v>0</v>
      </c>
      <c r="G13" s="94">
        <f t="shared" si="2"/>
        <v>483.28134971490061</v>
      </c>
      <c r="H13" s="94">
        <f t="shared" si="3"/>
        <v>572.97900303128893</v>
      </c>
      <c r="I13" s="94">
        <f>IF(Direktvermarktung="nein",0,StromerlösDirektvermarktung*C13*(1-(Direktnutzung+BatteriespeicherJN*Direktnutzung_Batteriespeicher))*(1+parameter!B$65)^A13)</f>
        <v>465.44512851281183</v>
      </c>
      <c r="J13" s="94">
        <f t="shared" si="4"/>
        <v>0</v>
      </c>
      <c r="K13" s="94">
        <f t="shared" si="5"/>
        <v>-102.91954781339332</v>
      </c>
      <c r="L13" s="94">
        <f t="shared" si="16"/>
        <v>-226.2296408157186</v>
      </c>
      <c r="M13" s="94">
        <f t="shared" si="17"/>
        <v>0</v>
      </c>
      <c r="N13" s="94">
        <f t="shared" si="18"/>
        <v>-132.53333333333336</v>
      </c>
      <c r="O13" s="94">
        <f t="shared" si="6"/>
        <v>-875</v>
      </c>
      <c r="P13" s="94">
        <f t="shared" si="7"/>
        <v>3791.666666666667</v>
      </c>
      <c r="Q13" s="94">
        <f t="shared" si="19"/>
        <v>0</v>
      </c>
      <c r="R13" s="94">
        <f t="shared" si="20"/>
        <v>0</v>
      </c>
      <c r="S13" s="94">
        <f t="shared" si="21"/>
        <v>0</v>
      </c>
      <c r="T13" s="94">
        <f t="shared" si="22"/>
        <v>0</v>
      </c>
      <c r="U13" s="94">
        <f t="shared" si="23"/>
        <v>185.02295929655611</v>
      </c>
      <c r="V13" s="94"/>
      <c r="W13" s="97">
        <f t="shared" si="26"/>
        <v>-676.66666666666674</v>
      </c>
      <c r="X13" s="94">
        <f>X12+V13+W13</f>
        <v>10150.000000000004</v>
      </c>
      <c r="Y13" s="94">
        <f t="shared" si="8"/>
        <v>383.35629262988937</v>
      </c>
      <c r="Z13" s="103">
        <f t="shared" si="9"/>
        <v>-115.00688778896681</v>
      </c>
      <c r="AA13" s="94">
        <f t="shared" si="10"/>
        <v>70.016071507589302</v>
      </c>
      <c r="AB13" s="94">
        <f t="shared" si="11"/>
        <v>63.415713147678161</v>
      </c>
      <c r="AC13" s="94">
        <f t="shared" si="25"/>
        <v>-5296.9171520656273</v>
      </c>
      <c r="AD13" s="94">
        <f t="shared" si="12"/>
        <v>204.9031557835518</v>
      </c>
      <c r="AE13" s="97">
        <f t="shared" si="13"/>
        <v>8433.7250545090101</v>
      </c>
      <c r="AF13" s="94">
        <v>1</v>
      </c>
    </row>
    <row r="14" spans="1:33" s="51" customFormat="1" x14ac:dyDescent="0.2">
      <c r="A14" s="94">
        <v>6</v>
      </c>
      <c r="B14" s="101">
        <f t="shared" si="24"/>
        <v>2028</v>
      </c>
      <c r="C14" s="94">
        <f t="shared" si="14"/>
        <v>9274.2678764216707</v>
      </c>
      <c r="D14" s="102">
        <f t="shared" si="0"/>
        <v>0.2</v>
      </c>
      <c r="E14" s="94">
        <f t="shared" si="15"/>
        <v>1854.8535752843343</v>
      </c>
      <c r="F14" s="94">
        <f t="shared" si="1"/>
        <v>0</v>
      </c>
      <c r="G14" s="94">
        <f t="shared" si="2"/>
        <v>481.34822431604101</v>
      </c>
      <c r="H14" s="94">
        <f t="shared" si="3"/>
        <v>579.2473933244512</v>
      </c>
      <c r="I14" s="94">
        <f>IF(Direktvermarktung="nein",0,StromerlösDirektvermarktung*C14*(1-(Direktnutzung+BatteriespeicherJN*Direktnutzung_Batteriespeicher))*(1+parameter!B$65)^A14)</f>
        <v>470.53709821874196</v>
      </c>
      <c r="J14" s="94">
        <f t="shared" si="4"/>
        <v>0</v>
      </c>
      <c r="K14" s="94">
        <f t="shared" si="5"/>
        <v>-104.04548766647183</v>
      </c>
      <c r="L14" s="94">
        <f t="shared" si="16"/>
        <v>-229.62308542795432</v>
      </c>
      <c r="M14" s="94">
        <f t="shared" si="17"/>
        <v>0</v>
      </c>
      <c r="N14" s="94">
        <f t="shared" si="18"/>
        <v>-107.68333333333335</v>
      </c>
      <c r="O14" s="94">
        <f t="shared" si="6"/>
        <v>-875</v>
      </c>
      <c r="P14" s="94">
        <f t="shared" si="7"/>
        <v>2916.666666666667</v>
      </c>
      <c r="Q14" s="94">
        <f t="shared" si="19"/>
        <v>0</v>
      </c>
      <c r="R14" s="94">
        <f t="shared" si="20"/>
        <v>0</v>
      </c>
      <c r="S14" s="94">
        <f t="shared" si="21"/>
        <v>0</v>
      </c>
      <c r="T14" s="94">
        <f t="shared" si="22"/>
        <v>0</v>
      </c>
      <c r="U14" s="94">
        <f t="shared" si="23"/>
        <v>214.78080943147461</v>
      </c>
      <c r="V14" s="94"/>
      <c r="W14" s="97">
        <f t="shared" si="26"/>
        <v>-676.66666666666674</v>
      </c>
      <c r="X14" s="97">
        <f t="shared" ref="X14:X27" si="27">X13+W14</f>
        <v>9473.3333333333376</v>
      </c>
      <c r="Y14" s="94">
        <f t="shared" si="8"/>
        <v>413.11414276480787</v>
      </c>
      <c r="Z14" s="103">
        <f t="shared" si="9"/>
        <v>-123.93424282944235</v>
      </c>
      <c r="AA14" s="94">
        <f t="shared" si="10"/>
        <v>90.846566602032254</v>
      </c>
      <c r="AB14" s="94">
        <f t="shared" si="11"/>
        <v>80.669151312476529</v>
      </c>
      <c r="AC14" s="94">
        <f t="shared" si="25"/>
        <v>-5216.2480007531503</v>
      </c>
      <c r="AD14" s="94">
        <f t="shared" si="12"/>
        <v>203.89872854931863</v>
      </c>
      <c r="AE14" s="97">
        <f t="shared" si="13"/>
        <v>8235.2844649911513</v>
      </c>
      <c r="AF14" s="94">
        <f>IF(AC14&lt;0,1,0)</f>
        <v>1</v>
      </c>
    </row>
    <row r="15" spans="1:33" s="51" customFormat="1" x14ac:dyDescent="0.2">
      <c r="A15" s="94">
        <v>7</v>
      </c>
      <c r="B15" s="101">
        <f t="shared" si="24"/>
        <v>2029</v>
      </c>
      <c r="C15" s="94">
        <f t="shared" si="14"/>
        <v>9237.1708049159843</v>
      </c>
      <c r="D15" s="102">
        <f t="shared" si="0"/>
        <v>0.2</v>
      </c>
      <c r="E15" s="94">
        <f t="shared" si="15"/>
        <v>1847.434160983197</v>
      </c>
      <c r="F15" s="94">
        <f t="shared" si="1"/>
        <v>1</v>
      </c>
      <c r="G15" s="94">
        <f t="shared" si="2"/>
        <v>479.42283141877687</v>
      </c>
      <c r="H15" s="94">
        <f t="shared" si="3"/>
        <v>585.58435980742058</v>
      </c>
      <c r="I15" s="94">
        <f>IF(Direktvermarktung="nein",0,StromerlösDirektvermarktung*C15*(1-(Direktnutzung+BatteriespeicherJN*Direktnutzung_Batteriespeicher))*(1+parameter!B$65)^A15)</f>
        <v>475.68477407325491</v>
      </c>
      <c r="J15" s="94">
        <f t="shared" si="4"/>
        <v>0</v>
      </c>
      <c r="K15" s="94">
        <f t="shared" si="5"/>
        <v>0</v>
      </c>
      <c r="L15" s="94">
        <f t="shared" si="16"/>
        <v>-233.06743170937361</v>
      </c>
      <c r="M15" s="94">
        <f t="shared" si="17"/>
        <v>0</v>
      </c>
      <c r="N15" s="94">
        <f t="shared" si="18"/>
        <v>-82.833333333333343</v>
      </c>
      <c r="O15" s="94">
        <f t="shared" si="6"/>
        <v>-875</v>
      </c>
      <c r="P15" s="94">
        <f t="shared" si="7"/>
        <v>2041.666666666667</v>
      </c>
      <c r="Q15" s="94">
        <f t="shared" si="19"/>
        <v>0</v>
      </c>
      <c r="R15" s="94">
        <f t="shared" si="20"/>
        <v>0</v>
      </c>
      <c r="S15" s="94">
        <f t="shared" si="21"/>
        <v>0</v>
      </c>
      <c r="T15" s="94">
        <f t="shared" si="22"/>
        <v>0</v>
      </c>
      <c r="U15" s="94">
        <f t="shared" si="23"/>
        <v>349.79120025674547</v>
      </c>
      <c r="V15" s="94"/>
      <c r="W15" s="97">
        <f t="shared" si="26"/>
        <v>-676.66666666666674</v>
      </c>
      <c r="X15" s="97">
        <f t="shared" si="27"/>
        <v>8796.6666666666715</v>
      </c>
      <c r="Y15" s="94">
        <f t="shared" si="8"/>
        <v>548.12453359007873</v>
      </c>
      <c r="Z15" s="103">
        <f t="shared" si="9"/>
        <v>-164.43736007702361</v>
      </c>
      <c r="AA15" s="94">
        <f t="shared" si="10"/>
        <v>185.35384017972186</v>
      </c>
      <c r="AB15" s="94">
        <f t="shared" si="11"/>
        <v>161.36167221363351</v>
      </c>
      <c r="AC15" s="94">
        <f t="shared" si="25"/>
        <v>-5054.8863285395164</v>
      </c>
      <c r="AD15" s="94">
        <f t="shared" si="12"/>
        <v>202.89922497799847</v>
      </c>
      <c r="AE15" s="97">
        <f t="shared" si="13"/>
        <v>8041.5130658148901</v>
      </c>
      <c r="AF15" s="94">
        <f t="shared" ref="AF15:AF28" si="28">IF(AC15&lt;0,1,0)</f>
        <v>1</v>
      </c>
    </row>
    <row r="16" spans="1:33" s="51" customFormat="1" x14ac:dyDescent="0.2">
      <c r="A16" s="94">
        <v>8</v>
      </c>
      <c r="B16" s="101">
        <f t="shared" si="24"/>
        <v>2030</v>
      </c>
      <c r="C16" s="94">
        <f t="shared" si="14"/>
        <v>9200.2221216963208</v>
      </c>
      <c r="D16" s="102">
        <f t="shared" si="0"/>
        <v>0.2</v>
      </c>
      <c r="E16" s="94">
        <f t="shared" si="15"/>
        <v>1840.0444243392642</v>
      </c>
      <c r="F16" s="94">
        <f t="shared" si="1"/>
        <v>1</v>
      </c>
      <c r="G16" s="94">
        <f t="shared" si="2"/>
        <v>477.50514009310172</v>
      </c>
      <c r="H16" s="94">
        <f t="shared" si="3"/>
        <v>591.99065270371375</v>
      </c>
      <c r="I16" s="94">
        <f>IF(Direktvermarktung="nein",0,StromerlösDirektvermarktung*C16*(1-(Direktnutzung+BatteriespeicherJN*Direktnutzung_Batteriespeicher))*(1+parameter!B$65)^A16)</f>
        <v>480.88876550161626</v>
      </c>
      <c r="J16" s="94">
        <f t="shared" si="4"/>
        <v>0</v>
      </c>
      <c r="K16" s="94">
        <f t="shared" si="5"/>
        <v>0</v>
      </c>
      <c r="L16" s="94">
        <f t="shared" si="16"/>
        <v>-236.56344318501419</v>
      </c>
      <c r="M16" s="94">
        <f t="shared" si="17"/>
        <v>0</v>
      </c>
      <c r="N16" s="94">
        <f t="shared" si="18"/>
        <v>-57.983333333333348</v>
      </c>
      <c r="O16" s="94">
        <f t="shared" si="6"/>
        <v>-875</v>
      </c>
      <c r="P16" s="94">
        <f t="shared" si="7"/>
        <v>1166.666666666667</v>
      </c>
      <c r="Q16" s="94">
        <f t="shared" si="19"/>
        <v>0</v>
      </c>
      <c r="R16" s="94">
        <f t="shared" si="20"/>
        <v>0</v>
      </c>
      <c r="S16" s="94">
        <f t="shared" si="21"/>
        <v>0</v>
      </c>
      <c r="T16" s="94">
        <f t="shared" si="22"/>
        <v>0</v>
      </c>
      <c r="U16" s="94">
        <f t="shared" si="23"/>
        <v>380.83778178008424</v>
      </c>
      <c r="V16" s="94"/>
      <c r="W16" s="97">
        <f t="shared" si="26"/>
        <v>-676.66666666666674</v>
      </c>
      <c r="X16" s="97">
        <f t="shared" si="27"/>
        <v>8120.0000000000045</v>
      </c>
      <c r="Y16" s="94">
        <f t="shared" si="8"/>
        <v>579.1711151134175</v>
      </c>
      <c r="Z16" s="103">
        <f t="shared" si="9"/>
        <v>-173.75133453402523</v>
      </c>
      <c r="AA16" s="94">
        <f t="shared" si="10"/>
        <v>207.08644724605901</v>
      </c>
      <c r="AB16" s="94">
        <f t="shared" si="11"/>
        <v>176.74628872848038</v>
      </c>
      <c r="AC16" s="94">
        <f t="shared" si="25"/>
        <v>-4878.1400398110363</v>
      </c>
      <c r="AD16" s="94">
        <f t="shared" si="12"/>
        <v>201.90462093398864</v>
      </c>
      <c r="AE16" s="97">
        <f t="shared" si="13"/>
        <v>7852.3009936780691</v>
      </c>
      <c r="AF16" s="94">
        <f t="shared" si="28"/>
        <v>1</v>
      </c>
    </row>
    <row r="17" spans="1:32" s="51" customFormat="1" x14ac:dyDescent="0.2">
      <c r="A17" s="94">
        <v>9</v>
      </c>
      <c r="B17" s="101">
        <f t="shared" si="24"/>
        <v>2031</v>
      </c>
      <c r="C17" s="94">
        <f t="shared" si="14"/>
        <v>9163.4212332095358</v>
      </c>
      <c r="D17" s="102">
        <f t="shared" si="0"/>
        <v>0.2</v>
      </c>
      <c r="E17" s="94">
        <f t="shared" si="15"/>
        <v>1832.6842466419073</v>
      </c>
      <c r="F17" s="94">
        <f t="shared" si="1"/>
        <v>1</v>
      </c>
      <c r="G17" s="94">
        <f t="shared" si="2"/>
        <v>475.59511953272937</v>
      </c>
      <c r="H17" s="94">
        <f t="shared" si="3"/>
        <v>598.46703044429239</v>
      </c>
      <c r="I17" s="94">
        <f>IF(Direktvermarktung="nein",0,StromerlösDirektvermarktung*C17*(1-(Direktnutzung+BatteriespeicherJN*Direktnutzung_Batteriespeicher))*(1+parameter!B$65)^A17)</f>
        <v>486.14968859620399</v>
      </c>
      <c r="J17" s="94">
        <f t="shared" si="4"/>
        <v>0</v>
      </c>
      <c r="K17" s="94">
        <f t="shared" si="5"/>
        <v>0</v>
      </c>
      <c r="L17" s="94">
        <f t="shared" si="16"/>
        <v>-240.11189483278937</v>
      </c>
      <c r="M17" s="94">
        <f t="shared" si="17"/>
        <v>0</v>
      </c>
      <c r="N17" s="94">
        <f t="shared" si="18"/>
        <v>-33.133333333333347</v>
      </c>
      <c r="O17" s="94">
        <f t="shared" si="6"/>
        <v>-875</v>
      </c>
      <c r="P17" s="94">
        <f t="shared" si="7"/>
        <v>291.66666666666697</v>
      </c>
      <c r="Q17" s="94">
        <f t="shared" si="19"/>
        <v>0</v>
      </c>
      <c r="R17" s="94">
        <f t="shared" si="20"/>
        <v>0</v>
      </c>
      <c r="S17" s="94">
        <f t="shared" si="21"/>
        <v>0</v>
      </c>
      <c r="T17" s="94">
        <f t="shared" si="22"/>
        <v>0</v>
      </c>
      <c r="U17" s="94">
        <f t="shared" si="23"/>
        <v>411.96661040710296</v>
      </c>
      <c r="V17" s="94"/>
      <c r="W17" s="97">
        <f t="shared" si="26"/>
        <v>-676.66666666666674</v>
      </c>
      <c r="X17" s="97">
        <f t="shared" si="27"/>
        <v>7443.3333333333376</v>
      </c>
      <c r="Y17" s="94">
        <f t="shared" si="8"/>
        <v>610.29994374043622</v>
      </c>
      <c r="Z17" s="103">
        <f t="shared" si="9"/>
        <v>-183.08998312213086</v>
      </c>
      <c r="AA17" s="94">
        <f t="shared" si="10"/>
        <v>228.8766272849721</v>
      </c>
      <c r="AB17" s="94">
        <f t="shared" si="11"/>
        <v>191.51372311587417</v>
      </c>
      <c r="AC17" s="94">
        <f t="shared" si="25"/>
        <v>-4686.6263166951621</v>
      </c>
      <c r="AD17" s="94">
        <f t="shared" si="12"/>
        <v>200.91489239999848</v>
      </c>
      <c r="AE17" s="97">
        <f t="shared" si="13"/>
        <v>7667.5409702974084</v>
      </c>
      <c r="AF17" s="94">
        <f t="shared" si="28"/>
        <v>1</v>
      </c>
    </row>
    <row r="18" spans="1:32" s="51" customFormat="1" x14ac:dyDescent="0.2">
      <c r="A18" s="94">
        <v>10</v>
      </c>
      <c r="B18" s="101">
        <f t="shared" si="24"/>
        <v>2032</v>
      </c>
      <c r="C18" s="94">
        <f t="shared" si="14"/>
        <v>9126.7675482766972</v>
      </c>
      <c r="D18" s="102">
        <f t="shared" si="0"/>
        <v>0.2</v>
      </c>
      <c r="E18" s="94">
        <f t="shared" si="15"/>
        <v>1825.3535096553396</v>
      </c>
      <c r="F18" s="94">
        <f t="shared" si="1"/>
        <v>1</v>
      </c>
      <c r="G18" s="94">
        <f t="shared" si="2"/>
        <v>473.69273905459846</v>
      </c>
      <c r="H18" s="94">
        <f t="shared" si="3"/>
        <v>605.01425975735276</v>
      </c>
      <c r="I18" s="94">
        <f>IF(Direktvermarktung="nein",0,StromerlösDirektvermarktung*C18*(1-(Direktnutzung+BatteriespeicherJN*Direktnutzung_Batteriespeicher))*(1+parameter!B$65)^A18)</f>
        <v>491.46816618944632</v>
      </c>
      <c r="J18" s="94">
        <f t="shared" si="4"/>
        <v>0</v>
      </c>
      <c r="K18" s="94">
        <f t="shared" si="5"/>
        <v>0</v>
      </c>
      <c r="L18" s="94">
        <f t="shared" si="16"/>
        <v>-243.7135732552812</v>
      </c>
      <c r="M18" s="94">
        <f t="shared" si="17"/>
        <v>0</v>
      </c>
      <c r="N18" s="94">
        <f t="shared" si="18"/>
        <v>-5.5222222222222284</v>
      </c>
      <c r="O18" s="94">
        <f t="shared" si="6"/>
        <v>-291.66666666666669</v>
      </c>
      <c r="P18" s="94">
        <f t="shared" si="7"/>
        <v>0</v>
      </c>
      <c r="Q18" s="94">
        <f t="shared" si="19"/>
        <v>0</v>
      </c>
      <c r="R18" s="94">
        <f t="shared" si="20"/>
        <v>0</v>
      </c>
      <c r="S18" s="94">
        <f t="shared" si="21"/>
        <v>0</v>
      </c>
      <c r="T18" s="94">
        <f t="shared" si="22"/>
        <v>0</v>
      </c>
      <c r="U18" s="94">
        <f t="shared" si="23"/>
        <v>1029.2727028572274</v>
      </c>
      <c r="V18" s="94"/>
      <c r="W18" s="97">
        <f t="shared" si="26"/>
        <v>-676.66666666666674</v>
      </c>
      <c r="X18" s="97">
        <f t="shared" si="27"/>
        <v>6766.6666666666706</v>
      </c>
      <c r="Y18" s="94">
        <f t="shared" si="8"/>
        <v>644.27270285722739</v>
      </c>
      <c r="Z18" s="103">
        <f t="shared" si="9"/>
        <v>-193.28181085716821</v>
      </c>
      <c r="AA18" s="94">
        <f t="shared" si="10"/>
        <v>835.99089200005915</v>
      </c>
      <c r="AB18" s="94">
        <f t="shared" si="11"/>
        <v>685.80370696336308</v>
      </c>
      <c r="AC18" s="94">
        <f t="shared" si="25"/>
        <v>-4000.8226097317993</v>
      </c>
      <c r="AD18" s="94">
        <f t="shared" si="12"/>
        <v>199.93001547646907</v>
      </c>
      <c r="AE18" s="97">
        <f t="shared" si="13"/>
        <v>7487.128241584528</v>
      </c>
      <c r="AF18" s="94">
        <f t="shared" si="28"/>
        <v>1</v>
      </c>
    </row>
    <row r="19" spans="1:32" s="51" customFormat="1" x14ac:dyDescent="0.2">
      <c r="A19" s="94">
        <v>11</v>
      </c>
      <c r="B19" s="101">
        <f t="shared" si="24"/>
        <v>2033</v>
      </c>
      <c r="C19" s="94">
        <f t="shared" si="14"/>
        <v>9090.26047808359</v>
      </c>
      <c r="D19" s="102">
        <f t="shared" si="0"/>
        <v>0.2</v>
      </c>
      <c r="E19" s="94">
        <f t="shared" si="15"/>
        <v>1818.0520956167181</v>
      </c>
      <c r="F19" s="94">
        <f t="shared" si="1"/>
        <v>1</v>
      </c>
      <c r="G19" s="94">
        <f t="shared" si="2"/>
        <v>471.79796809838001</v>
      </c>
      <c r="H19" s="94">
        <f t="shared" si="3"/>
        <v>611.63311575909813</v>
      </c>
      <c r="I19" s="94">
        <f>IF(Direktvermarktung="nein",0,StromerlösDirektvermarktung*C19*(1-(Direktnutzung+BatteriespeicherJN*Direktnutzung_Batteriespeicher))*(1+parameter!B$65)^A19)</f>
        <v>496.84482792755875</v>
      </c>
      <c r="J19" s="94">
        <f t="shared" si="4"/>
        <v>0</v>
      </c>
      <c r="K19" s="94">
        <f t="shared" si="5"/>
        <v>0</v>
      </c>
      <c r="L19" s="94">
        <f t="shared" si="16"/>
        <v>-247.36927685411038</v>
      </c>
      <c r="M19" s="94">
        <f t="shared" si="17"/>
        <v>0</v>
      </c>
      <c r="N19" s="94">
        <f t="shared" si="18"/>
        <v>0</v>
      </c>
      <c r="O19" s="94">
        <f t="shared" si="6"/>
        <v>0</v>
      </c>
      <c r="P19" s="94">
        <f t="shared" ref="P19:P27" si="29">P18+O19</f>
        <v>0</v>
      </c>
      <c r="Q19" s="94">
        <f t="shared" si="19"/>
        <v>0</v>
      </c>
      <c r="R19" s="94">
        <f t="shared" si="20"/>
        <v>0</v>
      </c>
      <c r="S19" s="94">
        <f t="shared" si="21"/>
        <v>0</v>
      </c>
      <c r="T19" s="94">
        <f t="shared" si="22"/>
        <v>0</v>
      </c>
      <c r="U19" s="94">
        <f t="shared" si="23"/>
        <v>1332.9066349309264</v>
      </c>
      <c r="V19" s="94"/>
      <c r="W19" s="97">
        <f t="shared" si="26"/>
        <v>-676.66666666666674</v>
      </c>
      <c r="X19" s="97">
        <f t="shared" si="27"/>
        <v>6090.0000000000036</v>
      </c>
      <c r="Y19" s="94">
        <f t="shared" si="8"/>
        <v>656.23996826425969</v>
      </c>
      <c r="Z19" s="103">
        <f t="shared" ref="Z19:Z28" si="30">IF(OR(IBNJahr&lt;2021,Anlagenleistung&gt;10),-Y19*Steuersatz1,IF(Steuerbefreiung="ja",0,-Y19*Steuersatz2))</f>
        <v>-196.87199047927791</v>
      </c>
      <c r="AA19" s="94">
        <f t="shared" si="10"/>
        <v>1136.0346444516485</v>
      </c>
      <c r="AB19" s="94">
        <f t="shared" si="11"/>
        <v>913.6706756619476</v>
      </c>
      <c r="AC19" s="94">
        <f t="shared" si="25"/>
        <v>-3087.1519340698514</v>
      </c>
      <c r="AD19" s="94">
        <f t="shared" si="12"/>
        <v>198.94996638099616</v>
      </c>
      <c r="AE19" s="97">
        <f t="shared" si="13"/>
        <v>7310.9605182531286</v>
      </c>
      <c r="AF19" s="94">
        <f t="shared" si="28"/>
        <v>1</v>
      </c>
    </row>
    <row r="20" spans="1:32" s="51" customFormat="1" x14ac:dyDescent="0.2">
      <c r="A20" s="94">
        <v>12</v>
      </c>
      <c r="B20" s="101">
        <f t="shared" si="24"/>
        <v>2034</v>
      </c>
      <c r="C20" s="94">
        <f t="shared" si="14"/>
        <v>9053.8994361712557</v>
      </c>
      <c r="D20" s="102">
        <f t="shared" si="0"/>
        <v>0.2</v>
      </c>
      <c r="E20" s="94">
        <f t="shared" si="15"/>
        <v>1810.7798872342512</v>
      </c>
      <c r="F20" s="94">
        <f t="shared" si="1"/>
        <v>1</v>
      </c>
      <c r="G20" s="94">
        <f t="shared" si="2"/>
        <v>469.91077622598647</v>
      </c>
      <c r="H20" s="94">
        <f t="shared" si="3"/>
        <v>618.32438204550249</v>
      </c>
      <c r="I20" s="94">
        <f>IF(Direktvermarktung="nein",0,StromerlösDirektvermarktung*C20*(1-(Direktnutzung+BatteriespeicherJN*Direktnutzung_Batteriespeicher))*(1+parameter!B$65)^A20)</f>
        <v>502.28031034508615</v>
      </c>
      <c r="J20" s="94">
        <f t="shared" si="4"/>
        <v>0</v>
      </c>
      <c r="K20" s="94">
        <f t="shared" si="5"/>
        <v>0</v>
      </c>
      <c r="L20" s="94">
        <f t="shared" si="16"/>
        <v>-251.07981600692199</v>
      </c>
      <c r="M20" s="94">
        <f t="shared" si="17"/>
        <v>0</v>
      </c>
      <c r="N20" s="94">
        <f t="shared" si="18"/>
        <v>0</v>
      </c>
      <c r="O20" s="94">
        <f t="shared" si="6"/>
        <v>0</v>
      </c>
      <c r="P20" s="94">
        <f t="shared" si="29"/>
        <v>0</v>
      </c>
      <c r="Q20" s="94">
        <f t="shared" si="19"/>
        <v>0</v>
      </c>
      <c r="R20" s="94">
        <f t="shared" si="20"/>
        <v>0</v>
      </c>
      <c r="S20" s="94">
        <f t="shared" si="21"/>
        <v>0</v>
      </c>
      <c r="T20" s="94">
        <f t="shared" si="22"/>
        <v>0</v>
      </c>
      <c r="U20" s="94">
        <f t="shared" si="23"/>
        <v>1339.4356526096531</v>
      </c>
      <c r="V20" s="94"/>
      <c r="W20" s="97">
        <f t="shared" si="26"/>
        <v>-676.66666666666674</v>
      </c>
      <c r="X20" s="97">
        <f t="shared" si="27"/>
        <v>5413.3333333333367</v>
      </c>
      <c r="Y20" s="94">
        <f t="shared" si="8"/>
        <v>662.76898594298632</v>
      </c>
      <c r="Z20" s="103">
        <f t="shared" si="30"/>
        <v>-198.8306957828959</v>
      </c>
      <c r="AA20" s="94">
        <f t="shared" si="10"/>
        <v>1140.6049568267572</v>
      </c>
      <c r="AB20" s="94">
        <f t="shared" si="11"/>
        <v>899.35922449250791</v>
      </c>
      <c r="AC20" s="94">
        <f t="shared" si="25"/>
        <v>-2187.7927095773434</v>
      </c>
      <c r="AD20" s="94">
        <f t="shared" si="12"/>
        <v>197.97472144775591</v>
      </c>
      <c r="AE20" s="97">
        <f t="shared" si="13"/>
        <v>7138.9379178236413</v>
      </c>
      <c r="AF20" s="94">
        <f t="shared" si="28"/>
        <v>1</v>
      </c>
    </row>
    <row r="21" spans="1:32" s="51" customFormat="1" x14ac:dyDescent="0.2">
      <c r="A21" s="94">
        <v>13</v>
      </c>
      <c r="B21" s="101">
        <f t="shared" si="24"/>
        <v>2035</v>
      </c>
      <c r="C21" s="94">
        <f t="shared" si="14"/>
        <v>9017.6838384265702</v>
      </c>
      <c r="D21" s="102">
        <f t="shared" si="0"/>
        <v>0.2</v>
      </c>
      <c r="E21" s="94">
        <f t="shared" si="15"/>
        <v>1803.5367676853141</v>
      </c>
      <c r="F21" s="94">
        <f t="shared" si="1"/>
        <v>1</v>
      </c>
      <c r="G21" s="94">
        <f t="shared" si="2"/>
        <v>468.03113312108252</v>
      </c>
      <c r="H21" s="94">
        <f t="shared" si="3"/>
        <v>625.08885078508024</v>
      </c>
      <c r="I21" s="94">
        <f>IF(Direktvermarktung="nein",0,StromerlösDirektvermarktung*C21*(1-(Direktnutzung+BatteriespeicherJN*Direktnutzung_Batteriespeicher))*(1+parameter!B$65)^A21)</f>
        <v>507.77525694026133</v>
      </c>
      <c r="J21" s="94">
        <f t="shared" si="4"/>
        <v>0</v>
      </c>
      <c r="K21" s="94">
        <f t="shared" si="5"/>
        <v>0</v>
      </c>
      <c r="L21" s="94">
        <f t="shared" si="16"/>
        <v>-254.84601324702581</v>
      </c>
      <c r="M21" s="94">
        <f t="shared" si="17"/>
        <v>0</v>
      </c>
      <c r="N21" s="94">
        <f t="shared" si="18"/>
        <v>0</v>
      </c>
      <c r="O21" s="94">
        <f t="shared" si="6"/>
        <v>0</v>
      </c>
      <c r="P21" s="94">
        <f t="shared" si="29"/>
        <v>0</v>
      </c>
      <c r="Q21" s="94">
        <f t="shared" si="19"/>
        <v>0</v>
      </c>
      <c r="R21" s="94">
        <f t="shared" si="20"/>
        <v>0</v>
      </c>
      <c r="S21" s="94">
        <f t="shared" si="21"/>
        <v>0</v>
      </c>
      <c r="T21" s="94">
        <f t="shared" si="22"/>
        <v>0</v>
      </c>
      <c r="U21" s="94">
        <f t="shared" si="23"/>
        <v>1346.0492275993984</v>
      </c>
      <c r="V21" s="94"/>
      <c r="W21" s="97">
        <f t="shared" si="26"/>
        <v>-676.66666666666674</v>
      </c>
      <c r="X21" s="97">
        <f t="shared" si="27"/>
        <v>4736.6666666666697</v>
      </c>
      <c r="Y21" s="94">
        <f t="shared" si="8"/>
        <v>669.38256093273162</v>
      </c>
      <c r="Z21" s="103">
        <f t="shared" si="30"/>
        <v>-200.81476827981948</v>
      </c>
      <c r="AA21" s="94">
        <f t="shared" si="10"/>
        <v>1145.2344593195789</v>
      </c>
      <c r="AB21" s="94">
        <f t="shared" si="11"/>
        <v>885.303485896506</v>
      </c>
      <c r="AC21" s="94">
        <f t="shared" si="25"/>
        <v>-1302.4892236808373</v>
      </c>
      <c r="AD21" s="94">
        <f t="shared" si="12"/>
        <v>197.0042571269336</v>
      </c>
      <c r="AE21" s="97">
        <f t="shared" si="13"/>
        <v>6970.9629079924971</v>
      </c>
      <c r="AF21" s="94">
        <f t="shared" si="28"/>
        <v>1</v>
      </c>
    </row>
    <row r="22" spans="1:32" s="51" customFormat="1" x14ac:dyDescent="0.2">
      <c r="A22" s="94">
        <v>14</v>
      </c>
      <c r="B22" s="101">
        <f t="shared" si="24"/>
        <v>2036</v>
      </c>
      <c r="C22" s="94">
        <f t="shared" si="14"/>
        <v>8981.6131030728648</v>
      </c>
      <c r="D22" s="102">
        <f t="shared" si="0"/>
        <v>0.2</v>
      </c>
      <c r="E22" s="94">
        <f t="shared" si="15"/>
        <v>1796.322620614573</v>
      </c>
      <c r="F22" s="94">
        <f t="shared" si="1"/>
        <v>1</v>
      </c>
      <c r="G22" s="94">
        <f t="shared" si="2"/>
        <v>466.15900858859823</v>
      </c>
      <c r="H22" s="94">
        <f t="shared" si="3"/>
        <v>631.92732281266888</v>
      </c>
      <c r="I22" s="94">
        <f>IF(Direktvermarktung="nein",0,StromerlösDirektvermarktung*C22*(1-(Direktnutzung+BatteriespeicherJN*Direktnutzung_Batteriespeicher))*(1+parameter!B$65)^A22)</f>
        <v>513.33031825118769</v>
      </c>
      <c r="J22" s="94">
        <f t="shared" si="4"/>
        <v>0</v>
      </c>
      <c r="K22" s="94">
        <f t="shared" si="5"/>
        <v>0</v>
      </c>
      <c r="L22" s="94">
        <f t="shared" si="16"/>
        <v>-258.66870344573113</v>
      </c>
      <c r="M22" s="94">
        <f t="shared" si="17"/>
        <v>0</v>
      </c>
      <c r="N22" s="94">
        <f t="shared" si="18"/>
        <v>0</v>
      </c>
      <c r="O22" s="94">
        <f t="shared" si="6"/>
        <v>0</v>
      </c>
      <c r="P22" s="94">
        <f t="shared" si="29"/>
        <v>0</v>
      </c>
      <c r="Q22" s="94">
        <f t="shared" si="19"/>
        <v>0</v>
      </c>
      <c r="R22" s="94">
        <f t="shared" si="20"/>
        <v>0</v>
      </c>
      <c r="S22" s="94">
        <f t="shared" si="21"/>
        <v>0</v>
      </c>
      <c r="T22" s="94">
        <f t="shared" si="22"/>
        <v>0</v>
      </c>
      <c r="U22" s="94">
        <f t="shared" si="23"/>
        <v>1352.7479462067238</v>
      </c>
      <c r="V22" s="94"/>
      <c r="W22" s="97">
        <f t="shared" si="26"/>
        <v>-676.66666666666674</v>
      </c>
      <c r="X22" s="97">
        <f t="shared" si="27"/>
        <v>4060.0000000000027</v>
      </c>
      <c r="Y22" s="94">
        <f t="shared" si="8"/>
        <v>676.08127954005704</v>
      </c>
      <c r="Z22" s="103">
        <f t="shared" si="30"/>
        <v>-202.8243838620171</v>
      </c>
      <c r="AA22" s="94">
        <f t="shared" si="10"/>
        <v>1149.9235623447066</v>
      </c>
      <c r="AB22" s="94">
        <f t="shared" si="11"/>
        <v>871.49834808664798</v>
      </c>
      <c r="AC22" s="94">
        <f t="shared" si="25"/>
        <v>-430.99087559418933</v>
      </c>
      <c r="AD22" s="94">
        <f t="shared" si="12"/>
        <v>196.03854998415443</v>
      </c>
      <c r="AE22" s="97">
        <f t="shared" si="13"/>
        <v>6806.94025133385</v>
      </c>
      <c r="AF22" s="94">
        <f t="shared" si="28"/>
        <v>1</v>
      </c>
    </row>
    <row r="23" spans="1:32" s="51" customFormat="1" x14ac:dyDescent="0.2">
      <c r="A23" s="94">
        <v>15</v>
      </c>
      <c r="B23" s="101">
        <f t="shared" si="24"/>
        <v>2037</v>
      </c>
      <c r="C23" s="94">
        <f t="shared" si="14"/>
        <v>8945.6866506605729</v>
      </c>
      <c r="D23" s="102">
        <f t="shared" si="0"/>
        <v>0.2</v>
      </c>
      <c r="E23" s="94">
        <f t="shared" si="15"/>
        <v>1789.1373301321146</v>
      </c>
      <c r="F23" s="94">
        <f t="shared" si="1"/>
        <v>1</v>
      </c>
      <c r="G23" s="94">
        <f t="shared" si="2"/>
        <v>464.29437255424381</v>
      </c>
      <c r="H23" s="94">
        <f t="shared" si="3"/>
        <v>638.84060772423948</v>
      </c>
      <c r="I23" s="94">
        <f>IF(Direktvermarktung="nein",0,StromerlösDirektvermarktung*C23*(1-(Direktnutzung+BatteriespeicherJN*Direktnutzung_Batteriespeicher))*(1+parameter!B$65)^A23)</f>
        <v>518.94615193285563</v>
      </c>
      <c r="J23" s="94">
        <f t="shared" si="4"/>
        <v>0</v>
      </c>
      <c r="K23" s="94">
        <f t="shared" si="5"/>
        <v>0</v>
      </c>
      <c r="L23" s="94">
        <f t="shared" si="16"/>
        <v>-262.54873399741706</v>
      </c>
      <c r="M23" s="94">
        <f t="shared" si="17"/>
        <v>0</v>
      </c>
      <c r="N23" s="94">
        <f t="shared" si="18"/>
        <v>0</v>
      </c>
      <c r="O23" s="94">
        <f t="shared" si="6"/>
        <v>0</v>
      </c>
      <c r="P23" s="94">
        <f t="shared" si="29"/>
        <v>0</v>
      </c>
      <c r="Q23" s="94">
        <f t="shared" si="19"/>
        <v>0</v>
      </c>
      <c r="R23" s="94">
        <f t="shared" si="20"/>
        <v>0</v>
      </c>
      <c r="S23" s="94">
        <f t="shared" si="21"/>
        <v>0</v>
      </c>
      <c r="T23" s="94">
        <f t="shared" si="22"/>
        <v>0</v>
      </c>
      <c r="U23" s="94">
        <f t="shared" si="23"/>
        <v>1359.5323982139219</v>
      </c>
      <c r="V23" s="94"/>
      <c r="W23" s="97">
        <f t="shared" si="26"/>
        <v>-676.66666666666674</v>
      </c>
      <c r="X23" s="97">
        <f t="shared" si="27"/>
        <v>3383.3333333333358</v>
      </c>
      <c r="Y23" s="94">
        <f t="shared" si="8"/>
        <v>682.86573154725511</v>
      </c>
      <c r="Z23" s="103">
        <f t="shared" si="30"/>
        <v>-204.85971946417652</v>
      </c>
      <c r="AA23" s="94">
        <f t="shared" si="10"/>
        <v>1154.6726787497453</v>
      </c>
      <c r="AB23" s="94">
        <f t="shared" si="11"/>
        <v>857.93880862636229</v>
      </c>
      <c r="AC23" s="94">
        <f t="shared" si="25"/>
        <v>426.94793303217295</v>
      </c>
      <c r="AD23" s="94">
        <f t="shared" si="12"/>
        <v>195.07757669991841</v>
      </c>
      <c r="AE23" s="97">
        <f t="shared" si="13"/>
        <v>6646.7769513024668</v>
      </c>
      <c r="AF23" s="94">
        <f t="shared" si="28"/>
        <v>0</v>
      </c>
    </row>
    <row r="24" spans="1:32" s="51" customFormat="1" x14ac:dyDescent="0.2">
      <c r="A24" s="94">
        <v>16</v>
      </c>
      <c r="B24" s="101">
        <f t="shared" si="24"/>
        <v>2038</v>
      </c>
      <c r="C24" s="94">
        <f t="shared" si="14"/>
        <v>8909.9039040579319</v>
      </c>
      <c r="D24" s="102">
        <f t="shared" si="0"/>
        <v>0.2</v>
      </c>
      <c r="E24" s="94">
        <f t="shared" si="15"/>
        <v>1781.9807808115866</v>
      </c>
      <c r="F24" s="94">
        <f t="shared" si="1"/>
        <v>1</v>
      </c>
      <c r="G24" s="94">
        <f t="shared" si="2"/>
        <v>462.43719506402692</v>
      </c>
      <c r="H24" s="94">
        <f t="shared" si="3"/>
        <v>645.82952397274266</v>
      </c>
      <c r="I24" s="94">
        <f>IF(Direktvermarktung="nein",0,StromerlösDirektvermarktung*C24*(1-(Direktnutzung+BatteriespeicherJN*Direktnutzung_Batteriespeicher))*(1+parameter!B$65)^A24)</f>
        <v>524.62342283500107</v>
      </c>
      <c r="J24" s="94">
        <f t="shared" si="4"/>
        <v>0</v>
      </c>
      <c r="K24" s="94">
        <f t="shared" si="5"/>
        <v>0</v>
      </c>
      <c r="L24" s="94">
        <f t="shared" si="16"/>
        <v>-266.48696500737827</v>
      </c>
      <c r="M24" s="94">
        <f t="shared" si="17"/>
        <v>0</v>
      </c>
      <c r="N24" s="94">
        <f t="shared" si="18"/>
        <v>0</v>
      </c>
      <c r="O24" s="94">
        <f t="shared" si="6"/>
        <v>0</v>
      </c>
      <c r="P24" s="94">
        <f t="shared" si="29"/>
        <v>0</v>
      </c>
      <c r="Q24" s="94">
        <f t="shared" si="19"/>
        <v>0</v>
      </c>
      <c r="R24" s="94">
        <f t="shared" si="20"/>
        <v>0</v>
      </c>
      <c r="S24" s="94">
        <f>Q24-R24</f>
        <v>0</v>
      </c>
      <c r="T24" s="94">
        <f t="shared" si="22"/>
        <v>0</v>
      </c>
      <c r="U24" s="94">
        <f t="shared" si="23"/>
        <v>1366.4031768643924</v>
      </c>
      <c r="V24" s="94"/>
      <c r="W24" s="97">
        <f t="shared" si="26"/>
        <v>-676.66666666666674</v>
      </c>
      <c r="X24" s="97">
        <f t="shared" si="27"/>
        <v>2706.6666666666688</v>
      </c>
      <c r="Y24" s="94">
        <f t="shared" si="8"/>
        <v>689.73651019772569</v>
      </c>
      <c r="Z24" s="103">
        <f t="shared" si="30"/>
        <v>-206.9209530593177</v>
      </c>
      <c r="AA24" s="94">
        <f t="shared" si="10"/>
        <v>1159.4822238050747</v>
      </c>
      <c r="AB24" s="94">
        <f t="shared" si="11"/>
        <v>844.61997200687779</v>
      </c>
      <c r="AC24" s="94">
        <f t="shared" si="25"/>
        <v>1271.5679050390509</v>
      </c>
      <c r="AD24" s="94">
        <f t="shared" si="12"/>
        <v>194.1213140690364</v>
      </c>
      <c r="AE24" s="97">
        <f t="shared" si="13"/>
        <v>6490.3821995071148</v>
      </c>
      <c r="AF24" s="94">
        <f t="shared" si="28"/>
        <v>0</v>
      </c>
    </row>
    <row r="25" spans="1:32" s="51" customFormat="1" x14ac:dyDescent="0.2">
      <c r="A25" s="94">
        <v>17</v>
      </c>
      <c r="B25" s="101">
        <f t="shared" si="24"/>
        <v>2039</v>
      </c>
      <c r="C25" s="94">
        <f t="shared" si="14"/>
        <v>8874.2642884417</v>
      </c>
      <c r="D25" s="102">
        <f t="shared" si="0"/>
        <v>0.2</v>
      </c>
      <c r="E25" s="94">
        <f t="shared" si="15"/>
        <v>1774.85285768834</v>
      </c>
      <c r="F25" s="94">
        <f t="shared" si="1"/>
        <v>1</v>
      </c>
      <c r="G25" s="94">
        <f t="shared" si="2"/>
        <v>460.58744628377076</v>
      </c>
      <c r="H25" s="94">
        <f t="shared" si="3"/>
        <v>652.89489896500436</v>
      </c>
      <c r="I25" s="94">
        <f>IF(Direktvermarktung="nein",0,StromerlösDirektvermarktung*C25*(1-(Direktnutzung+BatteriespeicherJN*Direktnutzung_Batteriespeicher))*(1+parameter!B$65)^A25)</f>
        <v>530.36280308081598</v>
      </c>
      <c r="J25" s="94">
        <f t="shared" si="4"/>
        <v>0</v>
      </c>
      <c r="K25" s="94">
        <f t="shared" si="5"/>
        <v>0</v>
      </c>
      <c r="L25" s="94">
        <f t="shared" si="16"/>
        <v>-270.48426948248891</v>
      </c>
      <c r="M25" s="94">
        <f t="shared" si="17"/>
        <v>0</v>
      </c>
      <c r="N25" s="94">
        <f t="shared" si="18"/>
        <v>0</v>
      </c>
      <c r="O25" s="94">
        <f t="shared" si="6"/>
        <v>0</v>
      </c>
      <c r="P25" s="94">
        <f t="shared" si="29"/>
        <v>0</v>
      </c>
      <c r="Q25" s="94">
        <f t="shared" si="19"/>
        <v>0</v>
      </c>
      <c r="R25" s="94">
        <f t="shared" si="20"/>
        <v>0</v>
      </c>
      <c r="S25" s="94">
        <f>Q25-R25</f>
        <v>0</v>
      </c>
      <c r="T25" s="94">
        <f t="shared" si="22"/>
        <v>0</v>
      </c>
      <c r="U25" s="94">
        <f t="shared" si="23"/>
        <v>1373.3608788471024</v>
      </c>
      <c r="V25" s="94"/>
      <c r="W25" s="97">
        <f t="shared" si="26"/>
        <v>-676.66666666666674</v>
      </c>
      <c r="X25" s="97">
        <f t="shared" si="27"/>
        <v>2030.000000000002</v>
      </c>
      <c r="Y25" s="94">
        <f t="shared" si="8"/>
        <v>696.69421218043567</v>
      </c>
      <c r="Z25" s="103">
        <f t="shared" si="30"/>
        <v>-209.0082636541307</v>
      </c>
      <c r="AA25" s="94">
        <f t="shared" si="10"/>
        <v>1164.3526151929718</v>
      </c>
      <c r="AB25" s="94">
        <f t="shared" si="11"/>
        <v>831.53704727896195</v>
      </c>
      <c r="AC25" s="94">
        <f t="shared" si="25"/>
        <v>2103.1049523180127</v>
      </c>
      <c r="AD25" s="94">
        <f t="shared" si="12"/>
        <v>193.16973900007048</v>
      </c>
      <c r="AE25" s="97">
        <f t="shared" si="13"/>
        <v>6337.6673242245934</v>
      </c>
      <c r="AF25" s="94">
        <f t="shared" si="28"/>
        <v>0</v>
      </c>
    </row>
    <row r="26" spans="1:32" s="51" customFormat="1" x14ac:dyDescent="0.2">
      <c r="A26" s="94">
        <v>18</v>
      </c>
      <c r="B26" s="101">
        <f t="shared" si="24"/>
        <v>2040</v>
      </c>
      <c r="C26" s="94">
        <f t="shared" si="14"/>
        <v>8838.7672312879331</v>
      </c>
      <c r="D26" s="102">
        <f t="shared" si="0"/>
        <v>0.2</v>
      </c>
      <c r="E26" s="94">
        <f t="shared" si="15"/>
        <v>1767.7534462575868</v>
      </c>
      <c r="F26" s="94">
        <f t="shared" si="1"/>
        <v>1</v>
      </c>
      <c r="G26" s="94">
        <f t="shared" si="2"/>
        <v>458.74509649863575</v>
      </c>
      <c r="H26" s="94">
        <f t="shared" si="3"/>
        <v>660.03756915968154</v>
      </c>
      <c r="I26" s="94">
        <f>IF(Direktvermarktung="nein",0,StromerlösDirektvermarktung*C26*(1-(Direktnutzung+BatteriespeicherJN*Direktnutzung_Batteriespeicher))*(1+parameter!B$65)^A26)</f>
        <v>536.16497214651997</v>
      </c>
      <c r="J26" s="94">
        <f t="shared" si="4"/>
        <v>0</v>
      </c>
      <c r="K26" s="94">
        <f t="shared" si="5"/>
        <v>0</v>
      </c>
      <c r="L26" s="94">
        <f t="shared" si="16"/>
        <v>-274.54153352472622</v>
      </c>
      <c r="M26" s="94">
        <f t="shared" si="17"/>
        <v>0</v>
      </c>
      <c r="N26" s="94">
        <f t="shared" si="18"/>
        <v>0</v>
      </c>
      <c r="O26" s="94">
        <f t="shared" si="6"/>
        <v>0</v>
      </c>
      <c r="P26" s="94">
        <f t="shared" si="29"/>
        <v>0</v>
      </c>
      <c r="Q26" s="94">
        <f t="shared" si="19"/>
        <v>0</v>
      </c>
      <c r="R26" s="94">
        <f t="shared" si="20"/>
        <v>0</v>
      </c>
      <c r="S26" s="94">
        <f>Q26-R26</f>
        <v>0</v>
      </c>
      <c r="T26" s="94">
        <f t="shared" si="22"/>
        <v>0</v>
      </c>
      <c r="U26" s="94">
        <f t="shared" si="23"/>
        <v>1380.4061042801109</v>
      </c>
      <c r="V26" s="94"/>
      <c r="W26" s="97">
        <f t="shared" si="26"/>
        <v>-676.66666666666674</v>
      </c>
      <c r="X26" s="97">
        <f t="shared" si="27"/>
        <v>1353.3333333333353</v>
      </c>
      <c r="Y26" s="94">
        <f t="shared" si="8"/>
        <v>703.73943761344412</v>
      </c>
      <c r="Z26" s="103">
        <f t="shared" si="30"/>
        <v>-211.12183128403322</v>
      </c>
      <c r="AA26" s="94">
        <f t="shared" si="10"/>
        <v>1169.2842729960776</v>
      </c>
      <c r="AB26" s="94">
        <f t="shared" si="11"/>
        <v>818.68534573806687</v>
      </c>
      <c r="AC26" s="94">
        <f t="shared" si="25"/>
        <v>2921.7902980560793</v>
      </c>
      <c r="AD26" s="94">
        <f t="shared" si="12"/>
        <v>192.22282851477604</v>
      </c>
      <c r="AE26" s="97">
        <f t="shared" si="13"/>
        <v>6188.5457401251924</v>
      </c>
      <c r="AF26" s="94">
        <f t="shared" si="28"/>
        <v>0</v>
      </c>
    </row>
    <row r="27" spans="1:32" s="51" customFormat="1" x14ac:dyDescent="0.2">
      <c r="A27" s="94">
        <v>19</v>
      </c>
      <c r="B27" s="101">
        <f t="shared" si="24"/>
        <v>2041</v>
      </c>
      <c r="C27" s="94">
        <f t="shared" si="14"/>
        <v>8803.4121623627798</v>
      </c>
      <c r="D27" s="102">
        <f t="shared" si="0"/>
        <v>0.2</v>
      </c>
      <c r="E27" s="94">
        <f t="shared" si="15"/>
        <v>1760.682432472556</v>
      </c>
      <c r="F27" s="94">
        <f t="shared" si="1"/>
        <v>1</v>
      </c>
      <c r="G27" s="94">
        <f t="shared" si="2"/>
        <v>456.91011611264105</v>
      </c>
      <c r="H27" s="94">
        <f t="shared" si="3"/>
        <v>667.25838016628813</v>
      </c>
      <c r="I27" s="94">
        <f>IF(Direktvermarktung="nein",0,StromerlösDirektvermarktung*C27*(1-(Direktnutzung+BatteriespeicherJN*Direktnutzung_Batteriespeicher))*(1+parameter!B$65)^A27)</f>
        <v>542.0306169418028</v>
      </c>
      <c r="J27" s="94">
        <f t="shared" si="4"/>
        <v>0</v>
      </c>
      <c r="K27" s="94">
        <f t="shared" si="5"/>
        <v>0</v>
      </c>
      <c r="L27" s="94">
        <f t="shared" si="16"/>
        <v>-278.65965652759706</v>
      </c>
      <c r="M27" s="94">
        <f t="shared" si="17"/>
        <v>0</v>
      </c>
      <c r="N27" s="94">
        <f t="shared" si="18"/>
        <v>0</v>
      </c>
      <c r="O27" s="94">
        <f t="shared" si="6"/>
        <v>0</v>
      </c>
      <c r="P27" s="94">
        <f t="shared" si="29"/>
        <v>0</v>
      </c>
      <c r="Q27" s="94">
        <f t="shared" si="19"/>
        <v>0</v>
      </c>
      <c r="R27" s="94">
        <f t="shared" si="20"/>
        <v>0</v>
      </c>
      <c r="S27" s="94">
        <f>Q27-R27</f>
        <v>0</v>
      </c>
      <c r="T27" s="94">
        <f t="shared" si="22"/>
        <v>0</v>
      </c>
      <c r="U27" s="94">
        <f t="shared" si="23"/>
        <v>1387.5394566931348</v>
      </c>
      <c r="V27" s="94"/>
      <c r="W27" s="97">
        <f t="shared" si="26"/>
        <v>-676.66666666666674</v>
      </c>
      <c r="X27" s="97">
        <f t="shared" si="27"/>
        <v>676.66666666666856</v>
      </c>
      <c r="Y27" s="94">
        <f t="shared" si="8"/>
        <v>710.87279002646801</v>
      </c>
      <c r="Z27" s="103">
        <f t="shared" si="30"/>
        <v>-213.26183700794039</v>
      </c>
      <c r="AA27" s="94">
        <f t="shared" si="10"/>
        <v>1174.2776196851944</v>
      </c>
      <c r="AB27" s="94">
        <f t="shared" si="11"/>
        <v>806.06027866167221</v>
      </c>
      <c r="AC27" s="94">
        <f t="shared" si="25"/>
        <v>3727.8505767177517</v>
      </c>
      <c r="AD27" s="94">
        <f t="shared" si="12"/>
        <v>191.2805597475467</v>
      </c>
      <c r="AE27" s="97">
        <f t="shared" si="13"/>
        <v>6042.9328991810689</v>
      </c>
      <c r="AF27" s="94">
        <f t="shared" si="28"/>
        <v>0</v>
      </c>
    </row>
    <row r="28" spans="1:32" s="51" customFormat="1" x14ac:dyDescent="0.2">
      <c r="A28" s="94">
        <v>20</v>
      </c>
      <c r="B28" s="101">
        <f t="shared" si="24"/>
        <v>2042</v>
      </c>
      <c r="C28" s="94">
        <f>Stromertrag*kWp*(1-Ertragsminderung)^A28</f>
        <v>8768.1985137133306</v>
      </c>
      <c r="D28" s="102">
        <f t="shared" si="0"/>
        <v>0.2</v>
      </c>
      <c r="E28" s="94">
        <f t="shared" si="15"/>
        <v>1753.6397027426663</v>
      </c>
      <c r="F28" s="94">
        <f t="shared" si="1"/>
        <v>1</v>
      </c>
      <c r="G28" s="94">
        <f t="shared" si="2"/>
        <v>455.08247564819061</v>
      </c>
      <c r="H28" s="94">
        <f t="shared" si="3"/>
        <v>674.55818684530732</v>
      </c>
      <c r="I28" s="94">
        <f>IF(Direktvermarktung="nein",0,StromerlösDirektvermarktung*C28*(1-(Direktnutzung+BatteriespeicherJN*Direktnutzung_Batteriespeicher))*(1+parameter!B$65)^A28)</f>
        <v>547.96043189114607</v>
      </c>
      <c r="J28" s="94">
        <f t="shared" si="4"/>
        <v>0</v>
      </c>
      <c r="K28" s="94">
        <f t="shared" si="5"/>
        <v>0</v>
      </c>
      <c r="L28" s="94">
        <f t="shared" si="16"/>
        <v>-282.83955137551095</v>
      </c>
      <c r="M28" s="94">
        <f t="shared" si="17"/>
        <v>0</v>
      </c>
      <c r="N28" s="94">
        <f t="shared" si="18"/>
        <v>0</v>
      </c>
      <c r="O28" s="94">
        <f t="shared" si="6"/>
        <v>0</v>
      </c>
      <c r="P28" s="94">
        <f>P27+O28</f>
        <v>0</v>
      </c>
      <c r="Q28" s="94">
        <f t="shared" si="19"/>
        <v>0</v>
      </c>
      <c r="R28" s="94">
        <f t="shared" si="20"/>
        <v>0</v>
      </c>
      <c r="S28" s="94">
        <f>Q28-R28</f>
        <v>0</v>
      </c>
      <c r="T28" s="94">
        <f t="shared" si="22"/>
        <v>0</v>
      </c>
      <c r="U28" s="94">
        <f t="shared" si="23"/>
        <v>1394.7615430091332</v>
      </c>
      <c r="V28" s="94"/>
      <c r="W28" s="94">
        <f>-X27</f>
        <v>-676.66666666666856</v>
      </c>
      <c r="X28" s="97">
        <f>X27+W28</f>
        <v>0</v>
      </c>
      <c r="Y28" s="94">
        <f t="shared" si="8"/>
        <v>718.09487634246466</v>
      </c>
      <c r="Z28" s="103">
        <f t="shared" si="30"/>
        <v>-215.4284629027394</v>
      </c>
      <c r="AA28" s="94">
        <f t="shared" si="10"/>
        <v>1179.3330801063939</v>
      </c>
      <c r="AB28" s="94">
        <f t="shared" si="11"/>
        <v>793.65735509763181</v>
      </c>
      <c r="AC28" s="94">
        <f>AC27+AB28</f>
        <v>4521.5079318153839</v>
      </c>
      <c r="AD28" s="94">
        <f t="shared" si="12"/>
        <v>190.34290994486258</v>
      </c>
      <c r="AE28" s="97">
        <f t="shared" si="13"/>
        <v>5900.7462427297505</v>
      </c>
      <c r="AF28" s="94">
        <f t="shared" si="28"/>
        <v>0</v>
      </c>
    </row>
    <row r="29" spans="1:32" s="48" customFormat="1" x14ac:dyDescent="0.2">
      <c r="A29" s="104"/>
      <c r="B29" s="104"/>
      <c r="C29" s="99">
        <f>SUM(C8:C28)</f>
        <v>188745.07008538098</v>
      </c>
      <c r="D29" s="99"/>
      <c r="E29" s="99">
        <f>SUM(E8:E28)</f>
        <v>37749.014017076202</v>
      </c>
      <c r="F29" s="99"/>
      <c r="G29" s="99">
        <f t="shared" ref="G29:M29" si="31">SUM(G8:G28)</f>
        <v>9796.1483908591508</v>
      </c>
      <c r="H29" s="99">
        <f t="shared" si="31"/>
        <v>12563.047044661485</v>
      </c>
      <c r="I29" s="99">
        <f t="shared" si="31"/>
        <v>10205.276310789444</v>
      </c>
      <c r="J29" s="99">
        <f t="shared" si="31"/>
        <v>0</v>
      </c>
      <c r="K29" s="99">
        <f t="shared" si="31"/>
        <v>-674.58743858712023</v>
      </c>
      <c r="L29" s="99">
        <f t="shared" si="31"/>
        <v>-5348.8096430762889</v>
      </c>
      <c r="M29" s="99">
        <f t="shared" si="31"/>
        <v>0</v>
      </c>
      <c r="N29" s="105"/>
      <c r="O29" s="99"/>
      <c r="P29" s="105"/>
      <c r="Q29" s="99">
        <f>SUM(Q8:Q28)</f>
        <v>0</v>
      </c>
      <c r="R29" s="99">
        <f>SUM(R8:R28)</f>
        <v>0</v>
      </c>
      <c r="S29" s="99">
        <f>SUM(S8:S28)</f>
        <v>0</v>
      </c>
      <c r="T29" s="105"/>
      <c r="U29" s="99">
        <f>SUM(U8:U28)</f>
        <v>11241.135775757777</v>
      </c>
      <c r="V29" s="99">
        <f>SUM(V8:V12)</f>
        <v>0</v>
      </c>
      <c r="W29" s="99">
        <f>SUM(W8:W28)</f>
        <v>-14000</v>
      </c>
      <c r="X29" s="105"/>
      <c r="Y29" s="99">
        <f>SUM(Y7:Y28)</f>
        <v>11251.635775757772</v>
      </c>
      <c r="Z29" s="99">
        <f>SUM(Z7:Z28)</f>
        <v>-3375.4907327273313</v>
      </c>
      <c r="AA29" s="99">
        <f>SUM(AA7:AA28)</f>
        <v>7865.6450430304449</v>
      </c>
      <c r="AB29" s="99">
        <f>SUM(AB7:AB28)</f>
        <v>4521.5079318153839</v>
      </c>
      <c r="AC29" s="104"/>
      <c r="AD29" s="99">
        <f>SUM(AD8:AD28)</f>
        <v>4410.3892811927799</v>
      </c>
      <c r="AE29" s="99">
        <f>SUM(AE8:AE28)</f>
        <v>155895.53092671541</v>
      </c>
      <c r="AF29" s="99">
        <f>SUM(AF8:AF28)</f>
        <v>15</v>
      </c>
    </row>
    <row r="30" spans="1:32" x14ac:dyDescent="0.2">
      <c r="A30" s="106"/>
      <c r="B30" s="106"/>
      <c r="C30" s="106"/>
      <c r="D30" s="106"/>
      <c r="E30" s="106"/>
      <c r="F30" s="107"/>
      <c r="G30" s="107"/>
      <c r="H30" s="107"/>
      <c r="I30" s="107"/>
      <c r="J30" s="107"/>
      <c r="K30" s="107"/>
      <c r="L30" s="107"/>
      <c r="M30" s="107"/>
      <c r="N30" s="107"/>
      <c r="O30" s="94"/>
      <c r="P30" s="107"/>
      <c r="Q30" s="107"/>
      <c r="R30" s="94"/>
      <c r="S30" s="94"/>
      <c r="T30" s="107"/>
      <c r="U30" s="108"/>
      <c r="V30" s="107"/>
      <c r="W30" s="107"/>
      <c r="X30" s="107"/>
      <c r="Y30" s="107"/>
      <c r="Z30" s="94"/>
      <c r="AA30" s="109">
        <f>IRR(AA7:AA28,0)</f>
        <v>6.3942968042416615E-2</v>
      </c>
      <c r="AB30" s="107"/>
      <c r="AC30" s="106"/>
      <c r="AD30" s="107"/>
      <c r="AE30" s="106"/>
      <c r="AF30" s="110"/>
    </row>
    <row r="31" spans="1:32" x14ac:dyDescent="0.2">
      <c r="A31" s="106"/>
      <c r="B31" s="106"/>
      <c r="C31" s="106"/>
      <c r="D31" s="106"/>
      <c r="E31" s="106"/>
      <c r="F31" s="107"/>
      <c r="G31" s="107"/>
      <c r="H31" s="107"/>
      <c r="I31" s="107"/>
      <c r="J31" s="107"/>
      <c r="K31" s="107"/>
      <c r="L31" s="107"/>
      <c r="M31" s="107"/>
      <c r="N31" s="107"/>
      <c r="O31" s="94"/>
      <c r="P31" s="107"/>
      <c r="Q31" s="107"/>
      <c r="R31" s="94"/>
      <c r="S31" s="94"/>
      <c r="T31" s="107"/>
      <c r="U31" s="108"/>
      <c r="V31" s="107"/>
      <c r="W31" s="107"/>
      <c r="X31" s="107"/>
      <c r="Y31" s="107"/>
      <c r="Z31" s="94"/>
      <c r="AA31" s="108">
        <f>MIRR(AA7:AA28,AA30,ZinssatzWiederanlage)</f>
        <v>4.1166465363387195E-2</v>
      </c>
      <c r="AB31" s="107"/>
      <c r="AC31" s="106"/>
      <c r="AD31" s="99" t="s">
        <v>15</v>
      </c>
      <c r="AE31" s="111">
        <f>(Anlagenpreis+BatteriespeicherJN*ZuschussBatterie+AD29)/AE29</f>
        <v>0.11809440060117746</v>
      </c>
      <c r="AF31" s="111"/>
    </row>
    <row r="32" spans="1:32" s="49" customFormat="1"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79"/>
      <c r="AA32" s="55"/>
      <c r="AB32" s="55"/>
      <c r="AC32" s="55"/>
      <c r="AD32" s="66"/>
      <c r="AE32" s="56"/>
      <c r="AF32" s="77"/>
    </row>
    <row r="33" spans="6:30" x14ac:dyDescent="0.2">
      <c r="F33" s="57"/>
      <c r="J33" s="57"/>
      <c r="K33" s="57"/>
      <c r="L33" s="57"/>
    </row>
    <row r="34" spans="6:30" x14ac:dyDescent="0.2">
      <c r="F34" s="57"/>
      <c r="J34" s="57"/>
      <c r="K34" s="57"/>
      <c r="L34" s="57"/>
      <c r="Y34" s="54"/>
      <c r="AC34" s="62"/>
      <c r="AD34" s="58"/>
    </row>
    <row r="35" spans="6:30" x14ac:dyDescent="0.2">
      <c r="AC35" s="63"/>
      <c r="AD35" s="57"/>
    </row>
  </sheetData>
  <customSheetViews>
    <customSheetView guid="{36051EDE-EE05-46A8-9481-5CD2E0A132E3}" showRuler="0">
      <selection activeCell="L4" sqref="L4"/>
      <pageMargins left="0.39370078740157483" right="0.39370078740157483" top="0.98425196850393704" bottom="0.98425196850393704" header="0.51181102362204722" footer="0.51181102362204722"/>
      <printOptions horizontalCentered="1" gridLines="1"/>
      <pageSetup paperSize="9" orientation="landscape"/>
      <headerFooter alignWithMargins="0">
        <oddHeader>&amp;F</oddHeader>
        <oddFooter>&amp;A</oddFooter>
      </headerFooter>
    </customSheetView>
  </customSheetViews>
  <mergeCells count="1">
    <mergeCell ref="G5:G6"/>
  </mergeCells>
  <phoneticPr fontId="0" type="noConversion"/>
  <printOptions horizontalCentered="1" gridLines="1"/>
  <pageMargins left="0.39370078740157483" right="0.39370078740157483" top="0.98425196850393704" bottom="0.98425196850393704" header="0.51181102362204722" footer="0.51181102362204722"/>
  <pageSetup paperSize="9" orientation="landscape" r:id="rId1"/>
  <headerFooter alignWithMargins="0">
    <oddHeader>&amp;F</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E13"/>
  <sheetViews>
    <sheetView workbookViewId="0">
      <selection activeCell="H17" sqref="H16:H17"/>
    </sheetView>
  </sheetViews>
  <sheetFormatPr baseColWidth="10" defaultColWidth="9.140625" defaultRowHeight="12.75" x14ac:dyDescent="0.2"/>
  <sheetData>
    <row r="1" spans="1:5" x14ac:dyDescent="0.2">
      <c r="A1" s="6" t="s">
        <v>27</v>
      </c>
      <c r="B1" s="7">
        <v>0.02</v>
      </c>
      <c r="C1" s="6">
        <v>1</v>
      </c>
      <c r="D1" s="21">
        <f>(E1+E2)/2</f>
        <v>0.99</v>
      </c>
      <c r="E1" s="7">
        <f>SUM(B1:B$12)</f>
        <v>1</v>
      </c>
    </row>
    <row r="2" spans="1:5" x14ac:dyDescent="0.2">
      <c r="A2" s="6" t="s">
        <v>28</v>
      </c>
      <c r="B2" s="7">
        <v>3.9E-2</v>
      </c>
      <c r="C2" s="6">
        <v>2</v>
      </c>
      <c r="D2" s="21">
        <f t="shared" ref="D2:D12" si="0">(E2+E3)/2</f>
        <v>0.96050000000000013</v>
      </c>
      <c r="E2" s="7">
        <f>SUM(B2:B$12)</f>
        <v>0.98000000000000009</v>
      </c>
    </row>
    <row r="3" spans="1:5" x14ac:dyDescent="0.2">
      <c r="A3" s="6" t="s">
        <v>29</v>
      </c>
      <c r="B3" s="7">
        <v>7.0000000000000007E-2</v>
      </c>
      <c r="C3" s="6">
        <v>3</v>
      </c>
      <c r="D3" s="21">
        <f t="shared" si="0"/>
        <v>0.90600000000000014</v>
      </c>
      <c r="E3" s="7">
        <f>SUM(B3:B$12)</f>
        <v>0.94100000000000006</v>
      </c>
    </row>
    <row r="4" spans="1:5" x14ac:dyDescent="0.2">
      <c r="A4" s="6" t="s">
        <v>6</v>
      </c>
      <c r="B4" s="7">
        <v>0.111</v>
      </c>
      <c r="C4" s="6">
        <v>4</v>
      </c>
      <c r="D4" s="21">
        <f t="shared" si="0"/>
        <v>0.81550000000000011</v>
      </c>
      <c r="E4" s="7">
        <f>SUM(B4:B$12)</f>
        <v>0.87100000000000011</v>
      </c>
    </row>
    <row r="5" spans="1:5" x14ac:dyDescent="0.2">
      <c r="A5" s="6" t="s">
        <v>30</v>
      </c>
      <c r="B5" s="7">
        <v>0.14599999999999999</v>
      </c>
      <c r="C5" s="6">
        <v>5</v>
      </c>
      <c r="D5" s="21">
        <f t="shared" si="0"/>
        <v>0.68700000000000006</v>
      </c>
      <c r="E5" s="7">
        <f>SUM(B5:B$12)</f>
        <v>0.76</v>
      </c>
    </row>
    <row r="6" spans="1:5" x14ac:dyDescent="0.2">
      <c r="A6" s="6" t="s">
        <v>31</v>
      </c>
      <c r="B6" s="7">
        <v>0.153</v>
      </c>
      <c r="C6" s="6">
        <v>6</v>
      </c>
      <c r="D6" s="21">
        <f t="shared" si="0"/>
        <v>0.53750000000000009</v>
      </c>
      <c r="E6" s="7">
        <f>SUM(B6:B$12)</f>
        <v>0.6140000000000001</v>
      </c>
    </row>
    <row r="7" spans="1:5" x14ac:dyDescent="0.2">
      <c r="A7" s="6" t="s">
        <v>32</v>
      </c>
      <c r="B7" s="7">
        <v>0.154</v>
      </c>
      <c r="C7" s="6">
        <v>7</v>
      </c>
      <c r="D7" s="21">
        <f t="shared" si="0"/>
        <v>0.38400000000000006</v>
      </c>
      <c r="E7" s="7">
        <f>SUM(B7:B$12)</f>
        <v>0.46100000000000008</v>
      </c>
    </row>
    <row r="8" spans="1:5" x14ac:dyDescent="0.2">
      <c r="A8" s="6" t="s">
        <v>7</v>
      </c>
      <c r="B8" s="7">
        <v>0.13400000000000001</v>
      </c>
      <c r="C8" s="6">
        <v>8</v>
      </c>
      <c r="D8" s="21">
        <f t="shared" si="0"/>
        <v>0.24000000000000002</v>
      </c>
      <c r="E8" s="7">
        <f>SUM(B8:B$12)</f>
        <v>0.30700000000000005</v>
      </c>
    </row>
    <row r="9" spans="1:5" x14ac:dyDescent="0.2">
      <c r="A9" s="6" t="s">
        <v>8</v>
      </c>
      <c r="B9" s="7">
        <v>8.5000000000000006E-2</v>
      </c>
      <c r="C9" s="6">
        <v>9</v>
      </c>
      <c r="D9" s="21">
        <f t="shared" si="0"/>
        <v>0.1305</v>
      </c>
      <c r="E9" s="7">
        <f>SUM(B9:B$12)</f>
        <v>0.17299999999999999</v>
      </c>
    </row>
    <row r="10" spans="1:5" x14ac:dyDescent="0.2">
      <c r="A10" s="6" t="s">
        <v>33</v>
      </c>
      <c r="B10" s="7">
        <v>4.9000000000000002E-2</v>
      </c>
      <c r="C10" s="6">
        <v>10</v>
      </c>
      <c r="D10" s="21">
        <f t="shared" si="0"/>
        <v>6.3500000000000001E-2</v>
      </c>
      <c r="E10" s="7">
        <f>SUM(B10:B$12)</f>
        <v>8.8000000000000009E-2</v>
      </c>
    </row>
    <row r="11" spans="1:5" x14ac:dyDescent="0.2">
      <c r="A11" s="6" t="s">
        <v>9</v>
      </c>
      <c r="B11" s="7">
        <v>2.3E-2</v>
      </c>
      <c r="C11" s="6">
        <v>11</v>
      </c>
      <c r="D11" s="21">
        <f t="shared" si="0"/>
        <v>2.75E-2</v>
      </c>
      <c r="E11" s="7">
        <f>SUM(B11:B$12)</f>
        <v>3.9E-2</v>
      </c>
    </row>
    <row r="12" spans="1:5" x14ac:dyDescent="0.2">
      <c r="A12" s="6" t="s">
        <v>34</v>
      </c>
      <c r="B12" s="8">
        <v>1.6E-2</v>
      </c>
      <c r="C12" s="6">
        <v>12</v>
      </c>
      <c r="D12" s="21">
        <f t="shared" si="0"/>
        <v>8.0000000000000002E-3</v>
      </c>
      <c r="E12" s="7">
        <f>B12</f>
        <v>1.6E-2</v>
      </c>
    </row>
    <row r="13" spans="1:5" x14ac:dyDescent="0.2">
      <c r="A13" s="6"/>
      <c r="B13" s="7">
        <f>SUM(B1:B12)</f>
        <v>1</v>
      </c>
      <c r="C13" s="6"/>
      <c r="E13" s="7"/>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F26"/>
  <sheetViews>
    <sheetView zoomScale="70" zoomScaleNormal="70" workbookViewId="0">
      <selection activeCell="M39" sqref="M39"/>
    </sheetView>
  </sheetViews>
  <sheetFormatPr baseColWidth="10" defaultColWidth="9.140625" defaultRowHeight="12.75" x14ac:dyDescent="0.2"/>
  <sheetData>
    <row r="1" spans="1:32" x14ac:dyDescent="0.2">
      <c r="A1" s="6" t="s">
        <v>35</v>
      </c>
      <c r="W1" s="6" t="s">
        <v>88</v>
      </c>
    </row>
    <row r="3" spans="1:32" x14ac:dyDescent="0.2">
      <c r="A3" s="42">
        <v>2013</v>
      </c>
      <c r="B3" s="43">
        <f>VLOOKUP(IBNMonat,payment!A15:B26,2,TRUE)</f>
        <v>0.15634629998441277</v>
      </c>
      <c r="C3" s="42"/>
      <c r="D3" s="42"/>
      <c r="E3" s="42"/>
      <c r="F3" s="42"/>
      <c r="G3" s="42"/>
      <c r="H3" s="42"/>
      <c r="W3">
        <v>2016</v>
      </c>
      <c r="Y3">
        <v>2017</v>
      </c>
      <c r="AA3" s="42">
        <v>2018</v>
      </c>
      <c r="AB3" s="42"/>
      <c r="AC3" s="42"/>
      <c r="AD3" s="42"/>
    </row>
    <row r="4" spans="1:32" x14ac:dyDescent="0.2">
      <c r="A4" s="42">
        <v>2014</v>
      </c>
      <c r="B4" s="43">
        <f>VLOOKUP(IBNMonat,payment!C15:D26,2,TRUE)</f>
        <v>0.131409534168</v>
      </c>
      <c r="W4" s="43">
        <f>VLOOKUP(IBNMonat,payment!W15:X26,2,TRUE)</f>
        <v>0.25</v>
      </c>
      <c r="Y4" s="43">
        <f>VLOOKUP(IBNMonat,payment!Y15:Z26,2,TRUE)</f>
        <v>0.19</v>
      </c>
      <c r="AA4" s="19">
        <f>VLOOKUP(IBNMonat,payment!AA15:AB26,2,TRUE)</f>
        <v>0.1</v>
      </c>
      <c r="AB4" s="43"/>
      <c r="AC4" s="43"/>
      <c r="AD4" s="19"/>
    </row>
    <row r="5" spans="1:32" x14ac:dyDescent="0.2">
      <c r="A5" s="42">
        <v>2015</v>
      </c>
      <c r="B5" s="43">
        <f>VLOOKUP(IBNMonat,payment!E15:F26,2,TRUE)</f>
        <v>0.12434870215490627</v>
      </c>
      <c r="C5" s="43"/>
      <c r="D5" s="43"/>
      <c r="E5" s="43"/>
      <c r="F5" s="43"/>
      <c r="G5" s="43"/>
      <c r="H5" s="19"/>
      <c r="W5" s="19"/>
      <c r="X5" s="19"/>
      <c r="Y5" s="43"/>
      <c r="Z5" s="43"/>
      <c r="AA5" s="43"/>
      <c r="AB5" s="43"/>
      <c r="AC5" s="43"/>
      <c r="AD5" s="19"/>
    </row>
    <row r="6" spans="1:32" x14ac:dyDescent="0.2">
      <c r="A6" s="42">
        <v>2016</v>
      </c>
      <c r="B6" s="43">
        <f>VLOOKUP(IBNMonat,payment!G15:H26,2,TRUE)</f>
        <v>0.1231</v>
      </c>
    </row>
    <row r="7" spans="1:32" x14ac:dyDescent="0.2">
      <c r="A7" s="42">
        <v>2017</v>
      </c>
      <c r="B7" s="19">
        <f>VLOOKUP(IBNMonat,payment!I15:J26,2,TRUE)</f>
        <v>0.12269250000000001</v>
      </c>
    </row>
    <row r="8" spans="1:32" x14ac:dyDescent="0.2">
      <c r="A8" s="42">
        <v>2018</v>
      </c>
      <c r="B8" s="19">
        <f>VLOOKUP(IBNMonat,payment!K15:L26,2,TRUE)</f>
        <v>0.122</v>
      </c>
    </row>
    <row r="9" spans="1:32" x14ac:dyDescent="0.2">
      <c r="A9" s="42">
        <v>2019</v>
      </c>
      <c r="B9" s="19">
        <f>VLOOKUP(IBNMonat,payment!M15:N26,2,TRUE)</f>
        <v>0.1095</v>
      </c>
    </row>
    <row r="10" spans="1:32" x14ac:dyDescent="0.2">
      <c r="A10" s="42">
        <v>2020</v>
      </c>
      <c r="B10" s="19">
        <f>VLOOKUP(IBNMonat,payment!O15:P26,2,TRUE)</f>
        <v>9.2999999999999999E-2</v>
      </c>
    </row>
    <row r="11" spans="1:32" x14ac:dyDescent="0.2">
      <c r="A11" s="42">
        <v>2021</v>
      </c>
      <c r="B11" s="19">
        <f>VLOOKUP(IBNMonat,payment!Q15:R26,2,TRUE)</f>
        <v>7.6899999999999996E-2</v>
      </c>
    </row>
    <row r="12" spans="1:32" x14ac:dyDescent="0.2">
      <c r="A12" s="42">
        <v>2022</v>
      </c>
      <c r="B12" s="19">
        <f>VLOOKUP(IBNMonat,payment!S15:T26,2,TRUE)</f>
        <v>6.4876849408753753E-2</v>
      </c>
    </row>
    <row r="14" spans="1:32" x14ac:dyDescent="0.2">
      <c r="A14">
        <v>2013</v>
      </c>
      <c r="C14">
        <v>2014</v>
      </c>
      <c r="E14">
        <v>2015</v>
      </c>
      <c r="G14">
        <v>2016</v>
      </c>
      <c r="I14">
        <v>2017</v>
      </c>
      <c r="K14">
        <v>2018</v>
      </c>
      <c r="M14">
        <v>2019</v>
      </c>
      <c r="O14">
        <v>2020</v>
      </c>
      <c r="Q14">
        <v>2021</v>
      </c>
      <c r="S14">
        <v>2022</v>
      </c>
      <c r="V14" s="80" t="s">
        <v>25</v>
      </c>
      <c r="W14">
        <v>2016</v>
      </c>
      <c r="Y14">
        <v>2017</v>
      </c>
      <c r="AA14">
        <v>2018</v>
      </c>
    </row>
    <row r="15" spans="1:32" x14ac:dyDescent="0.2">
      <c r="A15">
        <v>1</v>
      </c>
      <c r="B15" s="19">
        <f>IF(kWp&lt;=10,0.1702,IF(kWp&lt;=40,(10*0.1702+(kWp-10)*0.1614)/kWp,IF(kWp&lt;=1000,(10*0.1702+30*0.1614+(kWp-40)*0.144)/kWp,IF(kWp&lt;=10000,(10*0.1702+30*0.1614+960*0.144+(kWp-1000)*0.1178)/kWp,0))))</f>
        <v>0.17019999999999999</v>
      </c>
      <c r="C15">
        <v>1</v>
      </c>
      <c r="D15" s="203">
        <f>IF(kWp&lt;=10,0.1368,IF(kWp&lt;=40,(10*0.1368+(kWp-10)*0.1298)/kWp,IF(kWp&lt;=1000,(10*0.1368+30*0.1298+(kWp-40)*0.1158)/kWp,IF(kWp&lt;=10000,(10*0.1386+30*0.1298+960*0.1158+(kWp-1000)*0.0947)/kWp,0))))</f>
        <v>0.1368</v>
      </c>
      <c r="E15">
        <v>1</v>
      </c>
      <c r="F15" s="204">
        <f>IF(kWp&lt;=10,0.1256,IF(kWp&lt;=40,(10*0.1256+(kWp-10)*0.1222)/kWp,IF(kWp&lt;=500,(10*0.1256+30*0.1222+(kWp-40)*0.1092)/kWp,0)))</f>
        <v>0.12559999999999999</v>
      </c>
      <c r="G15">
        <v>1</v>
      </c>
      <c r="H15" s="204">
        <f>IF(kWp&lt;=10,0.1231,IF(kWp&lt;=40,(10*0.1231+(kWp-10)*0.1197)/kWp,IF(kWp&lt;=500,(10*0.1231+30*0.1197+(kWp-40)*0.1071)/kWp,0)))</f>
        <v>0.1231</v>
      </c>
      <c r="I15">
        <v>1</v>
      </c>
      <c r="J15" s="204">
        <f>IF(kWp&lt;=10,0.123,IF(kWp&lt;=40,(10*0.123+(kWp-10)*0.1196)/kWp,IF(kWp&lt;=100,(10*0.123+30*0.1196+(kWp-40)*0.1069)/kWp,0)))</f>
        <v>0.123</v>
      </c>
      <c r="K15">
        <v>1</v>
      </c>
      <c r="L15" s="203">
        <f>IF(kWp&lt;=10,0.122,IF(kWp&lt;=40,(10*0.122+(kWp-10)*0.1187)/kWp,IF(kWp&lt;=100,(10*0.122+30*0.1187+(kWp-40)*0.1061)/kWp,0)))</f>
        <v>0.122</v>
      </c>
      <c r="M15">
        <v>1</v>
      </c>
      <c r="N15" s="203">
        <f>IF(kWp&lt;=10,0.1147,IF(kWp&lt;=40,(10*0.1147+(kWp-10)*0.1115)/kWp,IF(kWp&lt;=100,(10*0.1147+30*0.1115+(kWp-40)*0.1036)/kWp,0)))</f>
        <v>0.1147</v>
      </c>
      <c r="O15">
        <v>1</v>
      </c>
      <c r="P15" s="19">
        <f>IF(kWp&lt;=10,0.0987,IF(kWp&lt;=40,(10*0.0987+(kWp-10)*0.0959)/kWp,IF(kWp&lt;=100,(10*0.0987+30*0.0959+(kWp-40)*0.0754)/kWp,0)))</f>
        <v>9.8699999999999996E-2</v>
      </c>
      <c r="Q15">
        <v>1</v>
      </c>
      <c r="R15" s="19">
        <f>IF(kWp&lt;=10,0.0816,IF(kWp&lt;=40,(10*0.0816+(kWp-10)*0.0793)/kWp,IF(kWp&lt;=100,(10*0.0816+30*0.0793+(kWp-40)*0.0622)/kWp,0)))</f>
        <v>8.1600000000000006E-2</v>
      </c>
      <c r="S15">
        <v>1</v>
      </c>
      <c r="T15" s="19">
        <f>R26*0.986</f>
        <v>6.8640761268637746E-2</v>
      </c>
      <c r="U15" s="19"/>
      <c r="V15" s="80"/>
      <c r="W15">
        <v>1</v>
      </c>
      <c r="X15" s="75">
        <v>0</v>
      </c>
      <c r="Y15">
        <v>1</v>
      </c>
      <c r="Z15" s="75">
        <v>0.19</v>
      </c>
      <c r="AA15">
        <v>1</v>
      </c>
      <c r="AB15" s="75">
        <v>0.1</v>
      </c>
      <c r="AD15" s="20"/>
      <c r="AF15" s="20"/>
    </row>
    <row r="16" spans="1:32" x14ac:dyDescent="0.2">
      <c r="A16">
        <f>A15+1</f>
        <v>2</v>
      </c>
      <c r="B16" s="203">
        <f>B15*0.978</f>
        <v>0.16645559999999998</v>
      </c>
      <c r="C16">
        <f t="shared" ref="C16:C26" si="0">C15+1</f>
        <v>2</v>
      </c>
      <c r="D16" s="19">
        <f t="shared" ref="D16:D21" si="1">D15*0.99</f>
        <v>0.135432</v>
      </c>
      <c r="E16">
        <f t="shared" ref="E16:E26" si="2">E15+1</f>
        <v>2</v>
      </c>
      <c r="F16" s="204">
        <f>F15*0.9975</f>
        <v>0.12528600000000001</v>
      </c>
      <c r="G16">
        <f t="shared" ref="G16:I26" si="3">G15+1</f>
        <v>2</v>
      </c>
      <c r="H16" s="204">
        <f t="shared" ref="H16:H26" si="4">H15</f>
        <v>0.1231</v>
      </c>
      <c r="I16">
        <f t="shared" si="3"/>
        <v>2</v>
      </c>
      <c r="J16" s="204">
        <f>J15</f>
        <v>0.123</v>
      </c>
      <c r="K16">
        <f t="shared" ref="K16:M26" si="5">K15+1</f>
        <v>2</v>
      </c>
      <c r="L16" s="204">
        <f t="shared" ref="L16:L21" si="6">L15</f>
        <v>0.122</v>
      </c>
      <c r="M16">
        <f t="shared" si="5"/>
        <v>2</v>
      </c>
      <c r="N16" s="203">
        <f>IF(kWp&lt;=10,0.1135,IF(kWp&lt;=40,(10*0.1135+(kWp-10)*0.1103)/kWp,IF(kWp&lt;=100,(10*0.1135*0.99+30*0.1103+(kWp-40)*0.0947)/kWp,0)))</f>
        <v>0.1135</v>
      </c>
      <c r="O16">
        <f t="shared" ref="O16:Q26" si="7">O15+1</f>
        <v>2</v>
      </c>
      <c r="P16" s="19">
        <f>IF(kWp&lt;=10,0.0972,IF(kWp&lt;=40,(10*0.0972+(kWp-10)*0.0945)/kWp,IF(kWp&lt;=100,(10*0.0972+30*0.0945+(kWp-40)*0.0742)/kWp,0)))</f>
        <v>9.7199999999999995E-2</v>
      </c>
      <c r="Q16">
        <f t="shared" si="7"/>
        <v>2</v>
      </c>
      <c r="R16" s="19">
        <f>IF(kWp&lt;=10,0.0804,IF(kWp&lt;=40,(10*0.0804+(kWp-10)*0.0781)/kWp,IF(kWp&lt;=100,(10*0.0804+30*0.0791+(kWp-40)*0.0613)/kWp,0)))</f>
        <v>8.0399999999999999E-2</v>
      </c>
      <c r="S16">
        <f t="shared" ref="S16:S26" si="8">S15+1</f>
        <v>2</v>
      </c>
      <c r="T16" s="19">
        <f>T15*0.986</f>
        <v>6.7679790610876811E-2</v>
      </c>
      <c r="U16" s="19"/>
      <c r="V16" s="81">
        <f>R16/R15</f>
        <v>0.98529411764705876</v>
      </c>
      <c r="W16">
        <f>W15+1</f>
        <v>2</v>
      </c>
      <c r="X16" s="75">
        <v>0</v>
      </c>
      <c r="Y16">
        <f t="shared" ref="Y16:Y26" si="9">Y15+1</f>
        <v>2</v>
      </c>
      <c r="Z16" s="75">
        <v>0.19</v>
      </c>
      <c r="AA16">
        <f t="shared" ref="AA16:AA26" si="10">AA15+1</f>
        <v>2</v>
      </c>
      <c r="AB16" s="75">
        <v>0.1</v>
      </c>
      <c r="AD16" s="20"/>
      <c r="AF16" s="20"/>
    </row>
    <row r="17" spans="1:32" x14ac:dyDescent="0.2">
      <c r="A17">
        <f t="shared" ref="A17:A26" si="11">A16+1</f>
        <v>3</v>
      </c>
      <c r="B17" s="203">
        <f>B16*0.978</f>
        <v>0.16279357679999998</v>
      </c>
      <c r="C17">
        <f t="shared" si="0"/>
        <v>3</v>
      </c>
      <c r="D17" s="19">
        <f t="shared" si="1"/>
        <v>0.13407768</v>
      </c>
      <c r="E17">
        <f t="shared" si="2"/>
        <v>3</v>
      </c>
      <c r="F17" s="204">
        <f>F16*0.9975</f>
        <v>0.12497278500000002</v>
      </c>
      <c r="G17">
        <f t="shared" si="3"/>
        <v>3</v>
      </c>
      <c r="H17" s="204">
        <f t="shared" si="4"/>
        <v>0.1231</v>
      </c>
      <c r="I17">
        <f t="shared" si="3"/>
        <v>3</v>
      </c>
      <c r="J17" s="204">
        <f>J16</f>
        <v>0.123</v>
      </c>
      <c r="K17">
        <f t="shared" si="5"/>
        <v>3</v>
      </c>
      <c r="L17" s="204">
        <f t="shared" si="6"/>
        <v>0.122</v>
      </c>
      <c r="M17">
        <f t="shared" si="5"/>
        <v>3</v>
      </c>
      <c r="N17" s="203">
        <f>IF(kWp&lt;=10,0.1123,IF(kWp&lt;=40,(10*0.1123+(kWp-10)*0.1092)/kWp,IF(kWp&lt;=100,(10*0.1123+30*0.1092+(kWp-40)*0.0899)/kWp,0)))</f>
        <v>0.1123</v>
      </c>
      <c r="O17">
        <f t="shared" si="7"/>
        <v>3</v>
      </c>
      <c r="P17" s="19">
        <f>IF(kWp&lt;=10,0.0958,IF(kWp&lt;=40,(10*0.0958+(kWp-10)*0.0931)/kWp,IF(kWp&lt;=100,(10*0.0985+30*0.0931+(kWp-40)*0.0731)/kWp,0)))</f>
        <v>9.5799999999999996E-2</v>
      </c>
      <c r="Q17">
        <f t="shared" si="7"/>
        <v>3</v>
      </c>
      <c r="R17" s="19">
        <f>IF(kWp&lt;=10,0.0792,IF(kWp&lt;=40,(10*0.0792+(kWp-10)*0.077)/kWp,IF(kWp&lt;=100,(10*0.0792+30*0.077+(kWp-40)*0.0604)/kWp,0)))</f>
        <v>7.9200000000000007E-2</v>
      </c>
      <c r="S17">
        <f t="shared" si="8"/>
        <v>3</v>
      </c>
      <c r="T17" s="19">
        <f t="shared" ref="T17:T26" si="12">T16*0.986</f>
        <v>6.6732273542324541E-2</v>
      </c>
      <c r="U17" s="19"/>
      <c r="V17" s="81">
        <f>R17/R16</f>
        <v>0.98507462686567171</v>
      </c>
      <c r="W17">
        <f t="shared" ref="W17:W26" si="13">W16+1</f>
        <v>3</v>
      </c>
      <c r="X17" s="75">
        <v>0.25</v>
      </c>
      <c r="Y17">
        <f t="shared" si="9"/>
        <v>3</v>
      </c>
      <c r="Z17" s="75">
        <v>0.19</v>
      </c>
      <c r="AA17">
        <f t="shared" si="10"/>
        <v>3</v>
      </c>
      <c r="AB17" s="75">
        <v>0.1</v>
      </c>
      <c r="AD17" s="20"/>
      <c r="AF17" s="20"/>
    </row>
    <row r="18" spans="1:32" x14ac:dyDescent="0.2">
      <c r="A18">
        <f t="shared" si="11"/>
        <v>4</v>
      </c>
      <c r="B18" s="203">
        <f>B17*0.978</f>
        <v>0.15921211811039998</v>
      </c>
      <c r="C18">
        <f t="shared" si="0"/>
        <v>4</v>
      </c>
      <c r="D18" s="19">
        <f t="shared" si="1"/>
        <v>0.13273690320000001</v>
      </c>
      <c r="E18">
        <f t="shared" si="2"/>
        <v>4</v>
      </c>
      <c r="F18" s="204">
        <f t="shared" ref="F18:F23" si="14">F17*0.9975</f>
        <v>0.12466035303750002</v>
      </c>
      <c r="G18">
        <f t="shared" si="3"/>
        <v>4</v>
      </c>
      <c r="H18" s="204">
        <f t="shared" si="4"/>
        <v>0.1231</v>
      </c>
      <c r="I18">
        <f t="shared" si="3"/>
        <v>4</v>
      </c>
      <c r="J18" s="204">
        <f>J17</f>
        <v>0.123</v>
      </c>
      <c r="K18">
        <f t="shared" si="5"/>
        <v>4</v>
      </c>
      <c r="L18" s="204">
        <f t="shared" si="6"/>
        <v>0.122</v>
      </c>
      <c r="M18">
        <f t="shared" si="5"/>
        <v>4</v>
      </c>
      <c r="N18" s="203">
        <f>IF(kWp&lt;=10,0.1111,IF(kWp&lt;=40,(10*0.1111+(kWp-10)*0.1081)/kWp,IF(kWp&lt;=100,(10*0.1111+30*0.1081+(kWp-40)*0.085)/kWp,0)))</f>
        <v>0.1111</v>
      </c>
      <c r="O18">
        <f t="shared" si="7"/>
        <v>4</v>
      </c>
      <c r="P18" s="19">
        <f>IF(kWp&lt;=10,0.0944,IF(kWp&lt;=40,(10*0.0944+(kWp-10)*0.0918)/kWp,IF(kWp&lt;=100,(10*0.0944+30*0.0918+(kWp-40)*0.0721)/kWp,0)))</f>
        <v>9.4399999999999998E-2</v>
      </c>
      <c r="Q18">
        <f t="shared" si="7"/>
        <v>4</v>
      </c>
      <c r="R18" s="19">
        <f>IF(kWp&lt;=10,0.0781,IF(kWp&lt;=40,(10*0.0781+(kWp-10)*0.0759)/kWp,IF(kWp&lt;=100,(10*0.0781+30*0.0759+(kWp-40)*0.0595)/kWp,0)))</f>
        <v>7.8100000000000003E-2</v>
      </c>
      <c r="S18">
        <f t="shared" si="8"/>
        <v>4</v>
      </c>
      <c r="T18" s="19">
        <f t="shared" si="12"/>
        <v>6.5798021712731997E-2</v>
      </c>
      <c r="U18" s="19"/>
      <c r="V18" s="81">
        <f t="shared" ref="V18:V26" si="15">R18/R17</f>
        <v>0.98611111111111105</v>
      </c>
      <c r="W18">
        <f t="shared" si="13"/>
        <v>4</v>
      </c>
      <c r="X18" s="75">
        <v>0.25</v>
      </c>
      <c r="Y18">
        <f t="shared" si="9"/>
        <v>4</v>
      </c>
      <c r="Z18" s="75">
        <v>0.19</v>
      </c>
      <c r="AA18">
        <f t="shared" si="10"/>
        <v>4</v>
      </c>
      <c r="AB18" s="75">
        <v>0.1</v>
      </c>
      <c r="AD18" s="20"/>
      <c r="AF18" s="20"/>
    </row>
    <row r="19" spans="1:32" x14ac:dyDescent="0.2">
      <c r="A19">
        <f t="shared" si="11"/>
        <v>5</v>
      </c>
      <c r="B19" s="204">
        <f t="shared" ref="B19:B24" si="16">B18*0.982</f>
        <v>0.15634629998441277</v>
      </c>
      <c r="C19">
        <f t="shared" si="0"/>
        <v>5</v>
      </c>
      <c r="D19" s="19">
        <f t="shared" si="1"/>
        <v>0.131409534168</v>
      </c>
      <c r="E19">
        <f t="shared" si="2"/>
        <v>5</v>
      </c>
      <c r="F19" s="204">
        <f t="shared" si="14"/>
        <v>0.12434870215490627</v>
      </c>
      <c r="G19">
        <f t="shared" si="3"/>
        <v>5</v>
      </c>
      <c r="H19" s="204">
        <f t="shared" si="4"/>
        <v>0.1231</v>
      </c>
      <c r="I19">
        <f t="shared" si="3"/>
        <v>5</v>
      </c>
      <c r="J19" s="203">
        <f t="shared" ref="J19:J26" si="17">J18*0.9975</f>
        <v>0.12269250000000001</v>
      </c>
      <c r="K19">
        <f t="shared" si="5"/>
        <v>5</v>
      </c>
      <c r="L19" s="204">
        <f t="shared" si="6"/>
        <v>0.122</v>
      </c>
      <c r="M19">
        <f t="shared" si="5"/>
        <v>5</v>
      </c>
      <c r="N19" s="203">
        <f>IF(kWp&lt;=10,0.1095,IF(kWp&lt;=40,(10*0.1095+(kWp-10)*0.1065)/kWp,IF(kWp&lt;=100,(10*0.1095+30*0.1065+(kWp-40)*0.0838)/kWp,0)))</f>
        <v>0.1095</v>
      </c>
      <c r="O19">
        <f t="shared" si="7"/>
        <v>5</v>
      </c>
      <c r="P19" s="19">
        <f>IF(kWp&lt;=10,0.093,IF(kWp&lt;=40,(10*0.093+(kWp-10)*0.0904)/kWp,IF(kWp&lt;=100,(10*0.093+30*0.0904+(kWp-40)*0.071)/kWp,0)))</f>
        <v>9.2999999999999999E-2</v>
      </c>
      <c r="Q19">
        <f t="shared" si="7"/>
        <v>5</v>
      </c>
      <c r="R19" s="19">
        <f>IF(kWp&lt;=10,0.0769,IF(kWp&lt;=40,(10*0.0769+(kWp-10)*0.0747)/kWp,IF(kWp&lt;=100,(10*0.0769+30*0.0747+(kWp-40)*0.0586)/kWp,0)))</f>
        <v>7.6899999999999996E-2</v>
      </c>
      <c r="S19">
        <f t="shared" si="8"/>
        <v>5</v>
      </c>
      <c r="T19" s="19">
        <f t="shared" si="12"/>
        <v>6.4876849408753753E-2</v>
      </c>
      <c r="U19" s="19"/>
      <c r="V19" s="81">
        <f t="shared" si="15"/>
        <v>0.9846350832266324</v>
      </c>
      <c r="W19">
        <f t="shared" si="13"/>
        <v>5</v>
      </c>
      <c r="X19" s="75">
        <v>0.25</v>
      </c>
      <c r="Y19">
        <f t="shared" si="9"/>
        <v>5</v>
      </c>
      <c r="Z19" s="75">
        <v>0.19</v>
      </c>
      <c r="AA19">
        <f t="shared" si="10"/>
        <v>5</v>
      </c>
      <c r="AB19" s="75">
        <v>0.1</v>
      </c>
      <c r="AD19" s="20"/>
      <c r="AF19" s="74"/>
    </row>
    <row r="20" spans="1:32" x14ac:dyDescent="0.2">
      <c r="A20">
        <f t="shared" si="11"/>
        <v>6</v>
      </c>
      <c r="B20" s="204">
        <f t="shared" si="16"/>
        <v>0.15353206658469334</v>
      </c>
      <c r="C20">
        <f t="shared" si="0"/>
        <v>6</v>
      </c>
      <c r="D20" s="19">
        <f t="shared" si="1"/>
        <v>0.13009543882631999</v>
      </c>
      <c r="E20">
        <f t="shared" si="2"/>
        <v>6</v>
      </c>
      <c r="F20" s="204">
        <f t="shared" si="14"/>
        <v>0.12403783039951902</v>
      </c>
      <c r="G20">
        <f t="shared" si="3"/>
        <v>6</v>
      </c>
      <c r="H20" s="204">
        <f t="shared" si="4"/>
        <v>0.1231</v>
      </c>
      <c r="I20">
        <f t="shared" si="3"/>
        <v>6</v>
      </c>
      <c r="J20" s="203">
        <f t="shared" si="17"/>
        <v>0.12238576875000001</v>
      </c>
      <c r="K20">
        <f t="shared" si="5"/>
        <v>6</v>
      </c>
      <c r="L20" s="204">
        <f t="shared" si="6"/>
        <v>0.122</v>
      </c>
      <c r="M20">
        <f t="shared" si="5"/>
        <v>6</v>
      </c>
      <c r="N20" s="203">
        <f>IF(kWp&lt;=10,0.1079,IF(kWp&lt;=40,(10*0.1079+(kWp-10)*0.105)/kWp,IF(kWp&lt;=100,(10*0.1079+30*0.105+(kWp-40)*0.0825)/kWp,0)))</f>
        <v>0.1079</v>
      </c>
      <c r="O20">
        <f t="shared" si="7"/>
        <v>6</v>
      </c>
      <c r="P20" s="19">
        <f>IF(kWp&lt;=10,0.0917,IF(kWp&lt;=40,(10*0.0917+(kWp-10)*0.0891)/kWp,IF(kWp&lt;=100,(10*0.0917+30*0.0891+(kWp-40)*0.07)/kWp,0)))</f>
        <v>9.1700000000000004E-2</v>
      </c>
      <c r="Q20">
        <f t="shared" si="7"/>
        <v>6</v>
      </c>
      <c r="R20" s="19">
        <f>IF(kWp&lt;=10,0.0758,IF(kWp&lt;=40,(10*0.0758+(kWp-10)*0.0736)/kWp,IF(kWp&lt;=100,(10*0.0758+30*0.0736+(kWp-40)*0.0577)/kWp,0)))</f>
        <v>7.5800000000000006E-2</v>
      </c>
      <c r="S20">
        <f t="shared" si="8"/>
        <v>6</v>
      </c>
      <c r="T20" s="19">
        <f t="shared" si="12"/>
        <v>6.3968573517031196E-2</v>
      </c>
      <c r="U20" s="19"/>
      <c r="V20" s="81">
        <f t="shared" si="15"/>
        <v>0.98569570871261392</v>
      </c>
      <c r="W20">
        <f t="shared" si="13"/>
        <v>6</v>
      </c>
      <c r="X20" s="75">
        <v>0.25</v>
      </c>
      <c r="Y20">
        <f t="shared" si="9"/>
        <v>6</v>
      </c>
      <c r="Z20" s="75">
        <v>0.19</v>
      </c>
      <c r="AA20">
        <f t="shared" si="10"/>
        <v>6</v>
      </c>
      <c r="AB20" s="75">
        <v>0.1</v>
      </c>
      <c r="AD20" s="20"/>
      <c r="AF20" s="20"/>
    </row>
    <row r="21" spans="1:32" x14ac:dyDescent="0.2">
      <c r="A21">
        <f t="shared" si="11"/>
        <v>7</v>
      </c>
      <c r="B21" s="204">
        <f t="shared" si="16"/>
        <v>0.15076848938616885</v>
      </c>
      <c r="C21">
        <f t="shared" si="0"/>
        <v>7</v>
      </c>
      <c r="D21" s="19">
        <f t="shared" si="1"/>
        <v>0.1287944844380568</v>
      </c>
      <c r="E21">
        <f t="shared" si="2"/>
        <v>7</v>
      </c>
      <c r="F21" s="204">
        <f t="shared" si="14"/>
        <v>0.12372773582352023</v>
      </c>
      <c r="G21">
        <f t="shared" si="3"/>
        <v>7</v>
      </c>
      <c r="H21" s="204">
        <f t="shared" si="4"/>
        <v>0.1231</v>
      </c>
      <c r="I21">
        <f t="shared" si="3"/>
        <v>7</v>
      </c>
      <c r="J21" s="203">
        <f t="shared" si="17"/>
        <v>0.12207980432812501</v>
      </c>
      <c r="K21">
        <f t="shared" si="5"/>
        <v>7</v>
      </c>
      <c r="L21" s="204">
        <f t="shared" si="6"/>
        <v>0.122</v>
      </c>
      <c r="M21">
        <f t="shared" si="5"/>
        <v>7</v>
      </c>
      <c r="N21" s="203">
        <f>IF(kWp&lt;=10,0.1064,IF(kWp&lt;=40,(10*0.1064+(kWp-10)*0.1034)/kWp,IF(kWp&lt;=100,(10*0.1064+30*0.1034+(kWp-40)*0.0813)/kWp,0)))</f>
        <v>0.10639999999999999</v>
      </c>
      <c r="O21">
        <f t="shared" si="7"/>
        <v>7</v>
      </c>
      <c r="P21" s="19">
        <f>IF(kWp&lt;=10,0.0903,IF(kWp&lt;=40,(10*0.0903+(kWp-10)*0.0878)/kWp,IF(kWp&lt;=100,(10*0.0903+30*0.0878+(kWp-40)*0.0689)/kWp,0)))</f>
        <v>9.0300000000000005E-2</v>
      </c>
      <c r="Q21">
        <f t="shared" si="7"/>
        <v>7</v>
      </c>
      <c r="R21" s="19">
        <f>IF(kWp&lt;=10,0.0747,IF(kWp&lt;=40,(10*0.0747+(kWp-10)*0.0725)/kWp,IF(kWp&lt;=100,(10*0.0747+30*0.0725+(kWp-40)*0.0568)/kWp,0)))</f>
        <v>7.4700000000000003E-2</v>
      </c>
      <c r="S21">
        <f t="shared" si="8"/>
        <v>7</v>
      </c>
      <c r="T21" s="19">
        <f t="shared" si="12"/>
        <v>6.3073013487792762E-2</v>
      </c>
      <c r="U21" s="19"/>
      <c r="V21" s="81">
        <f t="shared" si="15"/>
        <v>0.98548812664907648</v>
      </c>
      <c r="W21">
        <f t="shared" si="13"/>
        <v>7</v>
      </c>
      <c r="X21" s="75">
        <v>0.22</v>
      </c>
      <c r="Y21">
        <f t="shared" si="9"/>
        <v>7</v>
      </c>
      <c r="Z21" s="75">
        <v>0.16</v>
      </c>
      <c r="AA21">
        <f t="shared" si="10"/>
        <v>7</v>
      </c>
      <c r="AB21" s="75">
        <v>0.1</v>
      </c>
      <c r="AD21" s="20"/>
      <c r="AF21" s="20"/>
    </row>
    <row r="22" spans="1:32" x14ac:dyDescent="0.2">
      <c r="A22">
        <f t="shared" si="11"/>
        <v>8</v>
      </c>
      <c r="B22" s="204">
        <f t="shared" si="16"/>
        <v>0.14805465657721781</v>
      </c>
      <c r="C22">
        <f t="shared" si="0"/>
        <v>8</v>
      </c>
      <c r="D22" s="203">
        <f>D21*0.99+IF(kWp&lt;=10,0,(kWp-10)/kWp*0.003)</f>
        <v>0.12750653959367622</v>
      </c>
      <c r="E22">
        <f t="shared" si="2"/>
        <v>8</v>
      </c>
      <c r="F22" s="204">
        <f t="shared" si="14"/>
        <v>0.12341841648396143</v>
      </c>
      <c r="G22">
        <f t="shared" si="3"/>
        <v>8</v>
      </c>
      <c r="H22" s="204">
        <f t="shared" si="4"/>
        <v>0.1231</v>
      </c>
      <c r="I22">
        <f t="shared" si="3"/>
        <v>8</v>
      </c>
      <c r="J22" s="203">
        <f t="shared" si="17"/>
        <v>0.1217746048173047</v>
      </c>
      <c r="K22">
        <f t="shared" si="5"/>
        <v>8</v>
      </c>
      <c r="L22" s="203">
        <f>IF(kWp&lt;=10,0.1208,IF(kWp&lt;=40,(10*0.1208+(kWp-10)*0.1174)/kWp,IF(kWp&lt;=100,(10*0.1208+30*0.1174+(kWp-40)*0.105)/kWp,0)))</f>
        <v>0.1208</v>
      </c>
      <c r="M22">
        <f t="shared" si="5"/>
        <v>8</v>
      </c>
      <c r="N22" s="203">
        <f>IF(kWp&lt;=10,0.1048,IF(kWp&lt;=40,(10*0.1048+(kWp-10)*0.1019)/kWp,IF(kWp&lt;=100,(10*0.1048+30*0.1019+(kWp-40)*0.0801)/kWp,0)))</f>
        <v>0.1048</v>
      </c>
      <c r="O22">
        <f t="shared" si="7"/>
        <v>8</v>
      </c>
      <c r="P22" s="204">
        <f>P21*0.985</f>
        <v>8.8945500000000011E-2</v>
      </c>
      <c r="Q22">
        <f t="shared" si="7"/>
        <v>8</v>
      </c>
      <c r="R22" s="204">
        <f>R21*0.986</f>
        <v>7.3654200000000003E-2</v>
      </c>
      <c r="S22">
        <f t="shared" si="8"/>
        <v>8</v>
      </c>
      <c r="T22" s="19">
        <f t="shared" si="12"/>
        <v>6.2189991298963659E-2</v>
      </c>
      <c r="U22" s="20"/>
      <c r="V22" s="81">
        <f t="shared" si="15"/>
        <v>0.98599999999999999</v>
      </c>
      <c r="W22">
        <f t="shared" si="13"/>
        <v>8</v>
      </c>
      <c r="X22" s="75">
        <v>0.22</v>
      </c>
      <c r="Y22">
        <f t="shared" si="9"/>
        <v>8</v>
      </c>
      <c r="Z22" s="75">
        <v>0.16</v>
      </c>
      <c r="AA22">
        <f t="shared" si="10"/>
        <v>8</v>
      </c>
      <c r="AB22" s="75">
        <v>0.1</v>
      </c>
      <c r="AD22" s="20"/>
      <c r="AF22" s="20"/>
    </row>
    <row r="23" spans="1:32" x14ac:dyDescent="0.2">
      <c r="A23">
        <f t="shared" si="11"/>
        <v>9</v>
      </c>
      <c r="B23" s="204">
        <f t="shared" si="16"/>
        <v>0.14538967275882789</v>
      </c>
      <c r="C23">
        <f t="shared" si="0"/>
        <v>9</v>
      </c>
      <c r="D23" s="204">
        <f>D22*0.995</f>
        <v>0.12686900689570785</v>
      </c>
      <c r="E23">
        <f t="shared" si="2"/>
        <v>9</v>
      </c>
      <c r="F23" s="204">
        <f t="shared" si="14"/>
        <v>0.12310987044275153</v>
      </c>
      <c r="G23">
        <f t="shared" si="3"/>
        <v>9</v>
      </c>
      <c r="H23" s="204">
        <f t="shared" si="4"/>
        <v>0.1231</v>
      </c>
      <c r="I23">
        <f t="shared" si="3"/>
        <v>9</v>
      </c>
      <c r="J23" s="203">
        <f t="shared" si="17"/>
        <v>0.12147016830526144</v>
      </c>
      <c r="K23">
        <f t="shared" si="5"/>
        <v>9</v>
      </c>
      <c r="L23" s="203">
        <f>IF(kWp&lt;=10,0.1195,IF(kWp&lt;=40,(10*0.1195+(kWp-10)*0.1162)/kWp,IF(kWp&lt;=100,(10*0.1195+30*0.1162+(kWp-40)*0.1039)/kWp,0)))</f>
        <v>0.1195</v>
      </c>
      <c r="M23">
        <f t="shared" si="5"/>
        <v>9</v>
      </c>
      <c r="N23" s="203">
        <f>IF(kWp&lt;=10,0.1033,IF(kWp&lt;=40,(10*0.1033+(kWp-10)*0.1004)/kWp,IF(kWp&lt;=100,(10*0.1033+30*0.1004+(kWp-40)*0.0789)/kWp,0)))</f>
        <v>0.1033</v>
      </c>
      <c r="O23">
        <f t="shared" si="7"/>
        <v>9</v>
      </c>
      <c r="P23" s="204">
        <f>P22*0.985</f>
        <v>8.7611317500000008E-2</v>
      </c>
      <c r="Q23">
        <f t="shared" si="7"/>
        <v>9</v>
      </c>
      <c r="R23" s="204">
        <f>R22*0.986</f>
        <v>7.2623041200000002E-2</v>
      </c>
      <c r="S23">
        <f t="shared" si="8"/>
        <v>9</v>
      </c>
      <c r="T23" s="19">
        <f t="shared" si="12"/>
        <v>6.1319331420778167E-2</v>
      </c>
      <c r="U23" s="20"/>
      <c r="V23" s="81">
        <f t="shared" si="15"/>
        <v>0.98599999999999999</v>
      </c>
      <c r="W23">
        <f t="shared" si="13"/>
        <v>9</v>
      </c>
      <c r="X23" s="75">
        <v>0.22</v>
      </c>
      <c r="Y23">
        <f t="shared" si="9"/>
        <v>9</v>
      </c>
      <c r="Z23" s="75">
        <v>0.16</v>
      </c>
      <c r="AA23">
        <f t="shared" si="10"/>
        <v>9</v>
      </c>
      <c r="AB23" s="75">
        <v>0.1</v>
      </c>
      <c r="AD23" s="20"/>
      <c r="AF23" s="20"/>
    </row>
    <row r="24" spans="1:32" x14ac:dyDescent="0.2">
      <c r="A24">
        <f t="shared" si="11"/>
        <v>10</v>
      </c>
      <c r="B24" s="204">
        <f t="shared" si="16"/>
        <v>0.14277265864916899</v>
      </c>
      <c r="C24">
        <f t="shared" si="0"/>
        <v>10</v>
      </c>
      <c r="D24" s="203">
        <f>D23*0.9975</f>
        <v>0.12655183437846859</v>
      </c>
      <c r="E24">
        <f t="shared" si="2"/>
        <v>10</v>
      </c>
      <c r="F24" s="204">
        <f>F23</f>
        <v>0.12310987044275153</v>
      </c>
      <c r="G24">
        <f t="shared" si="3"/>
        <v>10</v>
      </c>
      <c r="H24" s="204">
        <f t="shared" si="4"/>
        <v>0.1231</v>
      </c>
      <c r="I24">
        <f t="shared" si="3"/>
        <v>10</v>
      </c>
      <c r="J24" s="203">
        <f t="shared" si="17"/>
        <v>0.12116649288449829</v>
      </c>
      <c r="K24">
        <f t="shared" si="5"/>
        <v>10</v>
      </c>
      <c r="L24" s="203">
        <f>IF(kWp&lt;=10,0.1183,IF(kWp&lt;=40,(10*0.1183+(kWp-10)*0.115)/kWp,IF(kWp&lt;=100,(10*0.1183+30*0.115+(kWp-40)*0.1028)/kWp,0)))</f>
        <v>0.1183</v>
      </c>
      <c r="M24">
        <f t="shared" si="5"/>
        <v>10</v>
      </c>
      <c r="N24" s="203">
        <f>IF(kWp&lt;=10,0.1018,IF(kWp&lt;=40,(10*0.1018+(kWp-10)*0.099)/kWp,IF(kWp&lt;=100,(10*0.1018+30*0.099+(kWp-40)*0.0778)/kWp,0)))</f>
        <v>0.1018</v>
      </c>
      <c r="O24">
        <f t="shared" si="7"/>
        <v>10</v>
      </c>
      <c r="P24" s="204">
        <f>P23*0.985</f>
        <v>8.629714773750001E-2</v>
      </c>
      <c r="Q24">
        <f t="shared" si="7"/>
        <v>10</v>
      </c>
      <c r="R24" s="204">
        <f>R23*0.986</f>
        <v>7.1606318623200008E-2</v>
      </c>
      <c r="S24">
        <f t="shared" si="8"/>
        <v>10</v>
      </c>
      <c r="T24" s="19">
        <f t="shared" si="12"/>
        <v>6.046086078088727E-2</v>
      </c>
      <c r="U24" s="20"/>
      <c r="V24" s="81">
        <f t="shared" si="15"/>
        <v>0.9860000000000001</v>
      </c>
      <c r="W24">
        <f t="shared" si="13"/>
        <v>10</v>
      </c>
      <c r="X24" s="75">
        <v>0.22</v>
      </c>
      <c r="Y24">
        <f t="shared" si="9"/>
        <v>10</v>
      </c>
      <c r="Z24" s="75">
        <v>0.13</v>
      </c>
      <c r="AA24">
        <f t="shared" si="10"/>
        <v>10</v>
      </c>
      <c r="AB24" s="75">
        <v>0.1</v>
      </c>
      <c r="AD24" s="20"/>
      <c r="AF24" s="20"/>
    </row>
    <row r="25" spans="1:32" x14ac:dyDescent="0.2">
      <c r="A25">
        <f t="shared" si="11"/>
        <v>11</v>
      </c>
      <c r="B25" s="203">
        <f>B24*0.986</f>
        <v>0.14077384142808064</v>
      </c>
      <c r="C25">
        <f t="shared" si="0"/>
        <v>11</v>
      </c>
      <c r="D25" s="204">
        <f>D24*0.9975</f>
        <v>0.12623545479252243</v>
      </c>
      <c r="E25">
        <f t="shared" si="2"/>
        <v>11</v>
      </c>
      <c r="F25" s="204">
        <f>F24</f>
        <v>0.12310987044275153</v>
      </c>
      <c r="G25">
        <f t="shared" si="3"/>
        <v>11</v>
      </c>
      <c r="H25" s="204">
        <f t="shared" si="4"/>
        <v>0.1231</v>
      </c>
      <c r="I25">
        <f t="shared" si="3"/>
        <v>11</v>
      </c>
      <c r="J25" s="203">
        <f t="shared" si="17"/>
        <v>0.12086357665228706</v>
      </c>
      <c r="K25">
        <f t="shared" si="5"/>
        <v>11</v>
      </c>
      <c r="L25" s="203">
        <f>IF(kWp&lt;=10,0.1171,IF(kWp&lt;=40,(10*0.1171+(kWp-10)*0.1138)/kWp,IF(kWp&lt;=100,(10*0.1171+30*0.1138+(kWp-40)*0.1017)/kWp,0)))</f>
        <v>0.1171</v>
      </c>
      <c r="M25">
        <f t="shared" si="5"/>
        <v>11</v>
      </c>
      <c r="N25" s="204">
        <f>N24*0.986</f>
        <v>0.1003748</v>
      </c>
      <c r="O25">
        <f t="shared" si="7"/>
        <v>11</v>
      </c>
      <c r="P25" s="204">
        <f>P24*0.982</f>
        <v>8.4743799078225004E-2</v>
      </c>
      <c r="Q25">
        <f t="shared" si="7"/>
        <v>11</v>
      </c>
      <c r="R25" s="204">
        <f>R24*0.986</f>
        <v>7.0603830162475206E-2</v>
      </c>
      <c r="S25">
        <f t="shared" si="8"/>
        <v>11</v>
      </c>
      <c r="T25" s="19">
        <f t="shared" si="12"/>
        <v>5.9614408729954847E-2</v>
      </c>
      <c r="U25" s="20"/>
      <c r="V25" s="81">
        <f t="shared" si="15"/>
        <v>0.98599999999999999</v>
      </c>
      <c r="W25">
        <f t="shared" si="13"/>
        <v>11</v>
      </c>
      <c r="X25" s="75">
        <v>0.22</v>
      </c>
      <c r="Y25">
        <f t="shared" si="9"/>
        <v>11</v>
      </c>
      <c r="Z25" s="75">
        <v>0.13</v>
      </c>
      <c r="AA25">
        <f t="shared" si="10"/>
        <v>11</v>
      </c>
      <c r="AB25" s="75">
        <v>0.1</v>
      </c>
      <c r="AD25" s="20"/>
      <c r="AF25" s="20"/>
    </row>
    <row r="26" spans="1:32" x14ac:dyDescent="0.2">
      <c r="A26">
        <f t="shared" si="11"/>
        <v>12</v>
      </c>
      <c r="B26" s="203">
        <f>B25*0.986</f>
        <v>0.13880300764808751</v>
      </c>
      <c r="C26">
        <f t="shared" si="0"/>
        <v>12</v>
      </c>
      <c r="D26" s="204">
        <f>D25*0.9975</f>
        <v>0.12591986615554113</v>
      </c>
      <c r="E26">
        <f t="shared" si="2"/>
        <v>12</v>
      </c>
      <c r="F26" s="204">
        <f>F25</f>
        <v>0.12310987044275153</v>
      </c>
      <c r="G26">
        <f t="shared" si="3"/>
        <v>12</v>
      </c>
      <c r="H26" s="204">
        <f t="shared" si="4"/>
        <v>0.1231</v>
      </c>
      <c r="I26">
        <f t="shared" si="3"/>
        <v>12</v>
      </c>
      <c r="J26" s="203">
        <f t="shared" si="17"/>
        <v>0.12056141771065634</v>
      </c>
      <c r="K26">
        <f t="shared" si="5"/>
        <v>12</v>
      </c>
      <c r="L26" s="203">
        <f>IF(kWp&lt;=10,0.1159,IF(kWp&lt;=40,(10*0.1159+(kWp-10)*0.1127)/kWp,IF(kWp&lt;=100,(10*0.1159+30*0.1127+(kWp-40)*0.1007)/kWp,0)))</f>
        <v>0.1159</v>
      </c>
      <c r="M26">
        <f t="shared" si="5"/>
        <v>12</v>
      </c>
      <c r="N26" s="204">
        <f>N25*0.986</f>
        <v>9.8969552799999999E-2</v>
      </c>
      <c r="O26">
        <f t="shared" si="7"/>
        <v>12</v>
      </c>
      <c r="P26" s="204">
        <f>P25*0.982</f>
        <v>8.3218410694816947E-2</v>
      </c>
      <c r="Q26">
        <f t="shared" si="7"/>
        <v>12</v>
      </c>
      <c r="R26" s="204">
        <f>R25*0.986</f>
        <v>6.9615376540200558E-2</v>
      </c>
      <c r="S26">
        <f t="shared" si="8"/>
        <v>12</v>
      </c>
      <c r="T26" s="19">
        <f t="shared" si="12"/>
        <v>5.8779807007735475E-2</v>
      </c>
      <c r="U26" s="20"/>
      <c r="V26" s="81">
        <f t="shared" si="15"/>
        <v>0.9860000000000001</v>
      </c>
      <c r="W26">
        <f t="shared" si="13"/>
        <v>12</v>
      </c>
      <c r="X26" s="75">
        <v>0.22</v>
      </c>
      <c r="Y26">
        <f t="shared" si="9"/>
        <v>12</v>
      </c>
      <c r="Z26" s="75">
        <v>0.13</v>
      </c>
      <c r="AA26">
        <f t="shared" si="10"/>
        <v>12</v>
      </c>
      <c r="AB26" s="75">
        <v>0.1</v>
      </c>
      <c r="AD26" s="20"/>
      <c r="AF26" s="20"/>
    </row>
  </sheetData>
  <phoneticPr fontId="0"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g D A A B Q S w M E F A A C A A g A 7 p l + R y z Z N z e o A A A A + Q A A A B I A H A B D b 2 5 m a W c v U G F j a 2 F n Z S 5 4 b W w g o h g A K K A U A A A A A A A A A A A A A A A A A A A A A A A A A A A A h Y 9 N C s I w G E S v U r J v k v 6 J l K / p Q t 1 Z E A R x G 9 L Y B t t U m t T 0 b i 4 8 k l e w o J X u X M 7 w B t 6 8 H k / I x 7 b x 7 r I 3 q t M Z C j B F n t S i K 5 W u M j T Y i 7 9 G O Y M D F 1 d e S W + C t U l H o z J U W 3 t L C X H O Y R f h r q 9 I S G l A z s X + K G r Z c l 9 p Y 7 k W E v 1 W 5 f 8 V Y n D 6 y L A Q h z G O 6 S r B S Z Q E Q O Y e C q U X z K S M K Z B F C Z u h s U M v W S n 9 7 Q 7 I H I F 8 b 7 A 3 U E s D B B Q A A g A I A O 6 Z f k 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m X 5 H K I p H u A 4 A A A A R A A A A E w A c A E Z v c m 1 1 b G F z L 1 N l Y 3 R p b 2 4 x L m 0 g o h g A K K A U A A A A A A A A A A A A A A A A A A A A A A A A A A A A K 0 5 N L s n M z 1 M I h t C G 1 g B Q S w E C L Q A U A A I A C A D u m X 5 H L N k 3 N 6 g A A A D 5 A A A A E g A A A A A A A A A A A A A A A A A A A A A A Q 2 9 u Z m l n L 1 B h Y 2 t h Z 2 U u e G 1 s U E s B A i 0 A F A A C A A g A 7 p l + R w / K 6 a u k A A A A 6 Q A A A B M A A A A A A A A A A A A A A A A A 9 A A A A F t D b 2 5 0 Z W 5 0 X 1 R 5 c G V z X S 5 4 b W x Q S w E C L Q A U A A I A C A D u m X 5 H 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I D d o a n s 9 K 1 J s l z y z n G i V 1 0 A A A A A A g A A A A A A E G Y A A A A B A A A g A A A A H D B V s v J G F q L N 1 F K O j j b K x S K 7 f j Y 7 s B f c n P v / 9 b V g 6 o c A A A A A D o A A A A A C A A A g A A A A U E U B t c Z m c N 1 B U H M b 2 W u U G Z G 4 l V O y 8 9 0 F + T q i E N n F x t p Q A A A A R n y b s R F v t 9 p R W U i f x R T k q 7 F 2 + K R n b o I / + Z z Z 2 R N v Z z D 2 Z e E 9 Q e y n a 1 6 v X 1 T 2 d v J I j 1 I W S g K s 4 v z l 1 m G W s z j b T T x D Q c Z B G T Q y n o O g l 4 t e 3 K N A A A A A P E 5 B t u l 4 7 s n r f 2 H j d H f x 6 5 i C k g b 2 7 j V l x 7 r 7 l P 2 o Z 7 e t C 5 e k T W x o K X u z h r P p a j L H k d b + B X T p g V P 8 k R u w J f p r v g = = < / 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C55F2EC083829D43B82DA1614CE2F7C0" ma:contentTypeVersion="16" ma:contentTypeDescription="Crear nuevo documento." ma:contentTypeScope="" ma:versionID="2b0b5858ae9c35ae24950f13f3688f62">
  <xsd:schema xmlns:xsd="http://www.w3.org/2001/XMLSchema" xmlns:xs="http://www.w3.org/2001/XMLSchema" xmlns:p="http://schemas.microsoft.com/office/2006/metadata/properties" xmlns:ns2="3ae34389-2336-4399-9b32-3b77383d3f9c" xmlns:ns3="37006b39-67df-4118-8ff6-86dbe21e81fe" targetNamespace="http://schemas.microsoft.com/office/2006/metadata/properties" ma:root="true" ma:fieldsID="2db5cdc505b3b6a89d0dd6b1dd92fabb" ns2:_="" ns3:_="">
    <xsd:import namespace="3ae34389-2336-4399-9b32-3b77383d3f9c"/>
    <xsd:import namespace="37006b39-67df-4118-8ff6-86dbe21e81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e34389-2336-4399-9b32-3b77383d3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940c3b37-9a09-4a73-81c5-e797d93043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006b39-67df-4118-8ff6-86dbe21e81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31aa8898-b15c-4eb1-b6be-92dd836d4967}" ma:internalName="TaxCatchAll" ma:showField="CatchAllData" ma:web="37006b39-67df-4118-8ff6-86dbe21e81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6CE32-EB43-445B-BB9D-628321B3CF67}">
  <ds:schemaRefs>
    <ds:schemaRef ds:uri="http://schemas.microsoft.com/sharepoint/v3/contenttype/forms"/>
  </ds:schemaRefs>
</ds:datastoreItem>
</file>

<file path=customXml/itemProps2.xml><?xml version="1.0" encoding="utf-8"?>
<ds:datastoreItem xmlns:ds="http://schemas.openxmlformats.org/officeDocument/2006/customXml" ds:itemID="{760A3831-F4EC-47D1-B096-DE494AF72EA3}">
  <ds:schemaRefs>
    <ds:schemaRef ds:uri="http://schemas.microsoft.com/DataMashup"/>
  </ds:schemaRefs>
</ds:datastoreItem>
</file>

<file path=customXml/itemProps3.xml><?xml version="1.0" encoding="utf-8"?>
<ds:datastoreItem xmlns:ds="http://schemas.openxmlformats.org/officeDocument/2006/customXml" ds:itemID="{725A17A3-44A4-4A89-A821-D6A1DA52C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e34389-2336-4399-9b32-3b77383d3f9c"/>
    <ds:schemaRef ds:uri="37006b39-67df-4118-8ff6-86dbe21e81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Hojas de cálculo</vt:lpstr>
      </vt:variant>
      <vt:variant>
        <vt:i4>5</vt:i4>
      </vt:variant>
      <vt:variant>
        <vt:lpstr>Gráficos</vt:lpstr>
      </vt:variant>
      <vt:variant>
        <vt:i4>2</vt:i4>
      </vt:variant>
      <vt:variant>
        <vt:lpstr>Rangos con nombre</vt:lpstr>
      </vt:variant>
      <vt:variant>
        <vt:i4>77</vt:i4>
      </vt:variant>
    </vt:vector>
  </HeadingPairs>
  <TitlesOfParts>
    <vt:vector size="84" baseType="lpstr">
      <vt:lpstr>info</vt:lpstr>
      <vt:lpstr>parameter</vt:lpstr>
      <vt:lpstr>calculation</vt:lpstr>
      <vt:lpstr>solar yield</vt:lpstr>
      <vt:lpstr>payment</vt:lpstr>
      <vt:lpstr>annual result</vt:lpstr>
      <vt:lpstr>net present value</vt:lpstr>
      <vt:lpstr>Anlagenleistung</vt:lpstr>
      <vt:lpstr>Anlagenpreis</vt:lpstr>
      <vt:lpstr>AnlagenpreisPV</vt:lpstr>
      <vt:lpstr>calculation!Área_de_impresión</vt:lpstr>
      <vt:lpstr>parameter!Área_de_impresión</vt:lpstr>
      <vt:lpstr>Auszahlung1</vt:lpstr>
      <vt:lpstr>BatteriespeicherJN</vt:lpstr>
      <vt:lpstr>BatterieVerluste</vt:lpstr>
      <vt:lpstr>Bereitstellung1</vt:lpstr>
      <vt:lpstr>Dachmiete</vt:lpstr>
      <vt:lpstr>Direktnutzung</vt:lpstr>
      <vt:lpstr>Direktnutzung_Batteriespeicher</vt:lpstr>
      <vt:lpstr>Direktnutzung_Speicher</vt:lpstr>
      <vt:lpstr>Direktvermarktung</vt:lpstr>
      <vt:lpstr>EEG_Vergütung</vt:lpstr>
      <vt:lpstr>eegSatz2013</vt:lpstr>
      <vt:lpstr>eegSatz2014</vt:lpstr>
      <vt:lpstr>eegSatz2015</vt:lpstr>
      <vt:lpstr>EEGSatz2016</vt:lpstr>
      <vt:lpstr>eegSatz2017</vt:lpstr>
      <vt:lpstr>eegSatz2018</vt:lpstr>
      <vt:lpstr>EEGSatz2019</vt:lpstr>
      <vt:lpstr>eegSatz2020</vt:lpstr>
      <vt:lpstr>eegUmlage</vt:lpstr>
      <vt:lpstr>eegUmlageAnteil</vt:lpstr>
      <vt:lpstr>EigenkapitalZuAnfang</vt:lpstr>
      <vt:lpstr>Eigennutzung</vt:lpstr>
      <vt:lpstr>Eigennutzung_brutto</vt:lpstr>
      <vt:lpstr>Eigennutzung_netto</vt:lpstr>
      <vt:lpstr>EigennutzungSpeicher</vt:lpstr>
      <vt:lpstr>Ertragsminderung</vt:lpstr>
      <vt:lpstr>Gewerbe</vt:lpstr>
      <vt:lpstr>Grundgebühr</vt:lpstr>
      <vt:lpstr>IBNJahr</vt:lpstr>
      <vt:lpstr>IBNMonat</vt:lpstr>
      <vt:lpstr>Inflationsrate</vt:lpstr>
      <vt:lpstr>InternerZinsfussQ</vt:lpstr>
      <vt:lpstr>Investitionsabzug</vt:lpstr>
      <vt:lpstr>Jahre</vt:lpstr>
      <vt:lpstr>Kapitalwert</vt:lpstr>
      <vt:lpstr>Kleinunternehmer</vt:lpstr>
      <vt:lpstr>Kredit1</vt:lpstr>
      <vt:lpstr>Kredit2</vt:lpstr>
      <vt:lpstr>KU_Umstellung</vt:lpstr>
      <vt:lpstr>KUR</vt:lpstr>
      <vt:lpstr>kWp</vt:lpstr>
      <vt:lpstr>Ladeverluste</vt:lpstr>
      <vt:lpstr>Laufzeit1</vt:lpstr>
      <vt:lpstr>Laufzeit2</vt:lpstr>
      <vt:lpstr>Leistung</vt:lpstr>
      <vt:lpstr>LfdKosten</vt:lpstr>
      <vt:lpstr>MwSt</vt:lpstr>
      <vt:lpstr>ProgVersion</vt:lpstr>
      <vt:lpstr>Solarertrag1</vt:lpstr>
      <vt:lpstr>Sonderabschreibung</vt:lpstr>
      <vt:lpstr>Speicherdegradation</vt:lpstr>
      <vt:lpstr>Steuerbefreiung</vt:lpstr>
      <vt:lpstr>Steuersatz1</vt:lpstr>
      <vt:lpstr>Steuersatz2</vt:lpstr>
      <vt:lpstr>StromerlösDirektvermarktung</vt:lpstr>
      <vt:lpstr>Stromertrag</vt:lpstr>
      <vt:lpstr>StrompreisNetto</vt:lpstr>
      <vt:lpstr>Strompreissteigerung</vt:lpstr>
      <vt:lpstr>Stromverbrauch</vt:lpstr>
      <vt:lpstr>Tilgungsfrei1</vt:lpstr>
      <vt:lpstr>Umstellung_KUR</vt:lpstr>
      <vt:lpstr>Vergütung2018</vt:lpstr>
      <vt:lpstr>Vorlaufkosten</vt:lpstr>
      <vt:lpstr>Zinsbindung1</vt:lpstr>
      <vt:lpstr>Zinssatz1</vt:lpstr>
      <vt:lpstr>Zinssatz1NachZinsbindung</vt:lpstr>
      <vt:lpstr>Zinssatz2</vt:lpstr>
      <vt:lpstr>ZinssatzBarwert</vt:lpstr>
      <vt:lpstr>ZinssatzWiederanlage</vt:lpstr>
      <vt:lpstr>ZusatzkostenBatterie</vt:lpstr>
      <vt:lpstr>Zuschuss_PV_Anlage</vt:lpstr>
      <vt:lpstr>ZuschussBatterie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Lindorfer Johannes</dc:creator>
  <cp:lastModifiedBy>Marc Vallverdú Gordi</cp:lastModifiedBy>
  <cp:lastPrinted>2016-05-25T14:37:50Z</cp:lastPrinted>
  <dcterms:created xsi:type="dcterms:W3CDTF">1999-10-30T15:36:17Z</dcterms:created>
  <dcterms:modified xsi:type="dcterms:W3CDTF">2022-08-26T09:12:52Z</dcterms:modified>
</cp:coreProperties>
</file>